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LOU_OperationsDept\AFFORDABILITY SPREADSHEET MASTER COPIES\AFFORDABILITY CALCULATOR MASTER COPIES TAX YR. 2024-25\Dec 2024 lending criteria\FINAL VERSIONS\"/>
    </mc:Choice>
  </mc:AlternateContent>
  <xr:revisionPtr revIDLastSave="0" documentId="13_ncr:1_{2C81B6B1-37A8-4844-8B8F-95FE955BCECC}" xr6:coauthVersionLast="47" xr6:coauthVersionMax="47" xr10:uidLastSave="{00000000-0000-0000-0000-000000000000}"/>
  <bookViews>
    <workbookView xWindow="-108" yWindow="-108" windowWidth="23256" windowHeight="12720" xr2:uid="{00000000-000D-0000-FFFF-FFFF00000000}"/>
  </bookViews>
  <sheets>
    <sheet name="Income &amp; Committed Expenditure" sheetId="12" r:id="rId1"/>
    <sheet name="Supporting borrower(s) Income" sheetId="11" state="hidden" r:id="rId2"/>
    <sheet name="Support borrower Affordability" sheetId="1" r:id="rId3"/>
    <sheet name="Occupy borrower(s) Income" sheetId="9" state="hidden" r:id="rId4"/>
    <sheet name="Occupy borrower Affordability" sheetId="5" r:id="rId5"/>
    <sheet name="ONS CALCULATIONS" sheetId="13" state="hidden" r:id="rId6"/>
    <sheet name="Help Notes" sheetId="8" state="hidden" r:id="rId7"/>
    <sheet name="A23" sheetId="14" state="hidden" r:id="rId8"/>
    <sheet name="A23 Detailed 2022" sheetId="16" state="hidden" r:id="rId9"/>
    <sheet name="fye 2021" sheetId="15" state="hidden" r:id="rId10"/>
  </sheets>
  <definedNames>
    <definedName name="_xlnm._FilterDatabase" localSheetId="5" hidden="1">'ONS CALCULATIONS'!$A$1:$A$132</definedName>
    <definedName name="Content" localSheetId="5">#REF!</definedName>
    <definedName name="Content">#REF!</definedName>
    <definedName name="_xlnm.Print_Area" localSheetId="7">'A23'!$A$1:$V$69</definedName>
    <definedName name="_xlnm.Print_Area" localSheetId="8">'A23 Detailed 2022'!$A$1:$H$419</definedName>
    <definedName name="_xlnm.Print_Area" localSheetId="9">'fye 2021'!$A$1:$H$419</definedName>
    <definedName name="_xlnm.Print_Area" localSheetId="6">'Help Notes'!$A$3:$Y$163</definedName>
    <definedName name="_xlnm.Print_Area" localSheetId="0">'Income &amp; Committed Expenditure'!$A$1:$J$86</definedName>
    <definedName name="_xlnm.Print_Area" localSheetId="4">'Occupy borrower Affordability'!$A$1:$AC$127</definedName>
    <definedName name="_xlnm.Print_Area" localSheetId="3">'Occupy borrower(s) Income'!$A$1:$I$73</definedName>
    <definedName name="_xlnm.Print_Area" localSheetId="2">'Support borrower Affordability'!$A$1:$AA$65</definedName>
    <definedName name="_xlnm.Print_Area" localSheetId="1">'Supporting borrower(s) Income'!$A$1:$I$73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3" i="5" l="1"/>
  <c r="A93" i="5"/>
  <c r="O377" i="16" l="1"/>
  <c r="N377" i="16"/>
  <c r="M377" i="16"/>
  <c r="L377" i="16"/>
  <c r="K377" i="16"/>
  <c r="J377" i="16"/>
  <c r="I377" i="16"/>
  <c r="H377" i="16"/>
  <c r="G377" i="16"/>
  <c r="F377" i="16"/>
  <c r="E377" i="16"/>
  <c r="O230" i="16"/>
  <c r="N230" i="16"/>
  <c r="M230" i="16"/>
  <c r="L230" i="16"/>
  <c r="K230" i="16"/>
  <c r="J230" i="16"/>
  <c r="I230" i="16"/>
  <c r="H230" i="16"/>
  <c r="G230" i="16"/>
  <c r="F230" i="16"/>
  <c r="E230" i="16"/>
  <c r="O154" i="16"/>
  <c r="N154" i="16"/>
  <c r="M154" i="16"/>
  <c r="L154" i="16"/>
  <c r="K154" i="16"/>
  <c r="J154" i="16"/>
  <c r="I154" i="16"/>
  <c r="H154" i="16"/>
  <c r="G154" i="16"/>
  <c r="F154" i="16"/>
  <c r="E154" i="16"/>
  <c r="O377" i="15"/>
  <c r="N377" i="15"/>
  <c r="M377" i="15"/>
  <c r="L377" i="15"/>
  <c r="K377" i="15"/>
  <c r="J377" i="15"/>
  <c r="I377" i="15"/>
  <c r="H377" i="15"/>
  <c r="G377" i="15"/>
  <c r="F377" i="15"/>
  <c r="E377" i="15"/>
  <c r="O230" i="15"/>
  <c r="N230" i="15"/>
  <c r="M230" i="15"/>
  <c r="L230" i="15"/>
  <c r="K230" i="15"/>
  <c r="J230" i="15"/>
  <c r="I230" i="15"/>
  <c r="H230" i="15"/>
  <c r="G230" i="15"/>
  <c r="F230" i="15"/>
  <c r="E230" i="15"/>
  <c r="O154" i="15"/>
  <c r="N154" i="15"/>
  <c r="M154" i="15"/>
  <c r="L154" i="15"/>
  <c r="K154" i="15"/>
  <c r="J154" i="15"/>
  <c r="I154" i="15"/>
  <c r="H154" i="15"/>
  <c r="G154" i="15"/>
  <c r="F154" i="15"/>
  <c r="E154" i="15"/>
  <c r="J54" i="1" l="1"/>
  <c r="J48" i="1"/>
  <c r="J47" i="1"/>
  <c r="J45" i="1"/>
  <c r="J41" i="1"/>
  <c r="J40" i="1"/>
  <c r="J46" i="5" l="1"/>
  <c r="J45" i="5"/>
  <c r="L43" i="5"/>
  <c r="J43" i="5"/>
  <c r="L39" i="5"/>
  <c r="J39" i="5"/>
  <c r="L38" i="5"/>
  <c r="J38" i="5"/>
  <c r="AA46" i="1" l="1"/>
  <c r="Z46" i="1"/>
  <c r="AC47" i="5"/>
  <c r="AB47" i="5"/>
  <c r="U45" i="5"/>
  <c r="U46" i="5"/>
  <c r="T44" i="1"/>
  <c r="T45" i="1"/>
  <c r="G199" i="13"/>
  <c r="G197" i="13"/>
  <c r="G195" i="13"/>
  <c r="G97" i="13"/>
  <c r="G101" i="13"/>
  <c r="G99" i="13"/>
  <c r="C284" i="13" l="1"/>
  <c r="C208" i="13"/>
  <c r="L277" i="13"/>
  <c r="J277" i="13"/>
  <c r="D277" i="13"/>
  <c r="C277" i="13"/>
  <c r="L249" i="13"/>
  <c r="J249" i="13"/>
  <c r="D249" i="13"/>
  <c r="C249" i="13"/>
  <c r="L235" i="13"/>
  <c r="J235" i="13"/>
  <c r="D235" i="13"/>
  <c r="C235" i="13"/>
  <c r="L216" i="13"/>
  <c r="L214" i="13"/>
  <c r="L208" i="13"/>
  <c r="L206" i="13"/>
  <c r="J206" i="13"/>
  <c r="D206" i="13"/>
  <c r="C206" i="13"/>
  <c r="J199" i="13"/>
  <c r="L179" i="13"/>
  <c r="J179" i="13"/>
  <c r="D179" i="13"/>
  <c r="C179" i="13"/>
  <c r="L151" i="13"/>
  <c r="J151" i="13"/>
  <c r="D151" i="13"/>
  <c r="C151" i="13"/>
  <c r="L137" i="13"/>
  <c r="J137" i="13"/>
  <c r="D137" i="13"/>
  <c r="C137" i="13"/>
  <c r="L130" i="13"/>
  <c r="L118" i="13"/>
  <c r="L112" i="13"/>
  <c r="L110" i="13"/>
  <c r="L108" i="13"/>
  <c r="J108" i="13"/>
  <c r="D108" i="13"/>
  <c r="C108" i="13"/>
  <c r="T107" i="13"/>
  <c r="W107" i="13" s="1"/>
  <c r="J101" i="13"/>
  <c r="AL85" i="13"/>
  <c r="S85" i="13"/>
  <c r="P85" i="13"/>
  <c r="G85" i="13"/>
  <c r="M82" i="13"/>
  <c r="F82" i="13"/>
  <c r="C82" i="13"/>
  <c r="V82" i="13" s="1"/>
  <c r="AB82" i="13" s="1"/>
  <c r="X77" i="13"/>
  <c r="AL77" i="13" s="1"/>
  <c r="S77" i="13"/>
  <c r="P77" i="13"/>
  <c r="O77" i="13"/>
  <c r="O85" i="13" s="1"/>
  <c r="J77" i="13"/>
  <c r="J85" i="13" s="1"/>
  <c r="Y85" i="13" s="1"/>
  <c r="AM85" i="13" s="1"/>
  <c r="I77" i="13"/>
  <c r="I85" i="13" s="1"/>
  <c r="X85" i="13" s="1"/>
  <c r="G77" i="13"/>
  <c r="C77" i="13"/>
  <c r="C85" i="13" s="1"/>
  <c r="T75" i="13"/>
  <c r="P75" i="13"/>
  <c r="O75" i="13"/>
  <c r="L75" i="13"/>
  <c r="I75" i="13"/>
  <c r="X75" i="13" s="1"/>
  <c r="AL75" i="13" s="1"/>
  <c r="F75" i="13"/>
  <c r="D75" i="13"/>
  <c r="S73" i="13"/>
  <c r="Q73" i="13"/>
  <c r="M73" i="13"/>
  <c r="L73" i="13"/>
  <c r="J73" i="13"/>
  <c r="Y73" i="13" s="1"/>
  <c r="F73" i="13"/>
  <c r="D73" i="13"/>
  <c r="X71" i="13"/>
  <c r="AL71" i="13" s="1"/>
  <c r="S71" i="13"/>
  <c r="Q71" i="13"/>
  <c r="O71" i="13"/>
  <c r="L71" i="13"/>
  <c r="I71" i="13"/>
  <c r="G71" i="13"/>
  <c r="C71" i="13"/>
  <c r="X69" i="13"/>
  <c r="AL69" i="13" s="1"/>
  <c r="T69" i="13"/>
  <c r="P69" i="13"/>
  <c r="O69" i="13"/>
  <c r="M69" i="13"/>
  <c r="I69" i="13"/>
  <c r="G69" i="13"/>
  <c r="D69" i="13"/>
  <c r="W69" i="13" s="1"/>
  <c r="T67" i="13"/>
  <c r="T82" i="13" s="1"/>
  <c r="S67" i="13"/>
  <c r="S82" i="13" s="1"/>
  <c r="Q67" i="13"/>
  <c r="Q82" i="13" s="1"/>
  <c r="O67" i="13"/>
  <c r="O82" i="13" s="1"/>
  <c r="M67" i="13"/>
  <c r="L67" i="13"/>
  <c r="I67" i="13"/>
  <c r="I82" i="13" s="1"/>
  <c r="X82" i="13" s="1"/>
  <c r="AL82" i="13" s="1"/>
  <c r="G67" i="13"/>
  <c r="G82" i="13" s="1"/>
  <c r="F67" i="13"/>
  <c r="C67" i="13"/>
  <c r="V67" i="13" s="1"/>
  <c r="AB67" i="13" s="1"/>
  <c r="T65" i="13"/>
  <c r="S65" i="13"/>
  <c r="P65" i="13"/>
  <c r="O65" i="13"/>
  <c r="M65" i="13"/>
  <c r="J65" i="13"/>
  <c r="Y65" i="13" s="1"/>
  <c r="AM65" i="13" s="1"/>
  <c r="I65" i="13"/>
  <c r="X65" i="13" s="1"/>
  <c r="AL65" i="13" s="1"/>
  <c r="AT65" i="13" s="1"/>
  <c r="G65" i="13"/>
  <c r="D65" i="13"/>
  <c r="C65" i="13"/>
  <c r="T63" i="13"/>
  <c r="Q63" i="13"/>
  <c r="P63" i="13"/>
  <c r="O63" i="13"/>
  <c r="L63" i="13"/>
  <c r="J63" i="13"/>
  <c r="Y63" i="13" s="1"/>
  <c r="I63" i="13"/>
  <c r="X63" i="13" s="1"/>
  <c r="AL63" i="13" s="1"/>
  <c r="F63" i="13"/>
  <c r="V63" i="13" s="1"/>
  <c r="AB63" i="13" s="1"/>
  <c r="D63" i="13"/>
  <c r="C63" i="13"/>
  <c r="S61" i="13"/>
  <c r="S88" i="13" s="1"/>
  <c r="Q61" i="13"/>
  <c r="Q88" i="13" s="1"/>
  <c r="P61" i="13"/>
  <c r="P88" i="13" s="1"/>
  <c r="M61" i="13"/>
  <c r="M88" i="13" s="1"/>
  <c r="L61" i="13"/>
  <c r="L88" i="13" s="1"/>
  <c r="J61" i="13"/>
  <c r="Y61" i="13" s="1"/>
  <c r="G61" i="13"/>
  <c r="G88" i="13" s="1"/>
  <c r="F61" i="13"/>
  <c r="F88" i="13" s="1"/>
  <c r="D61" i="13"/>
  <c r="D88" i="13" s="1"/>
  <c r="W88" i="13" s="1"/>
  <c r="T59" i="13"/>
  <c r="S59" i="13"/>
  <c r="Q59" i="13"/>
  <c r="O59" i="13"/>
  <c r="M59" i="13"/>
  <c r="L59" i="13"/>
  <c r="I59" i="13"/>
  <c r="X59" i="13" s="1"/>
  <c r="AL59" i="13" s="1"/>
  <c r="G59" i="13"/>
  <c r="F59" i="13"/>
  <c r="C59" i="13"/>
  <c r="V59" i="13" s="1"/>
  <c r="AB59" i="13" s="1"/>
  <c r="T57" i="13"/>
  <c r="S57" i="13"/>
  <c r="P57" i="13"/>
  <c r="O57" i="13"/>
  <c r="M57" i="13"/>
  <c r="J57" i="13"/>
  <c r="Y57" i="13" s="1"/>
  <c r="AM57" i="13" s="1"/>
  <c r="I57" i="13"/>
  <c r="X57" i="13" s="1"/>
  <c r="AL57" i="13" s="1"/>
  <c r="AT57" i="13" s="1"/>
  <c r="G57" i="13"/>
  <c r="D57" i="13"/>
  <c r="W57" i="13" s="1"/>
  <c r="C57" i="13"/>
  <c r="T55" i="13"/>
  <c r="Q55" i="13"/>
  <c r="P55" i="13"/>
  <c r="O55" i="13"/>
  <c r="L55" i="13"/>
  <c r="J55" i="13"/>
  <c r="Y55" i="13" s="1"/>
  <c r="I55" i="13"/>
  <c r="X55" i="13" s="1"/>
  <c r="AL55" i="13" s="1"/>
  <c r="F55" i="13"/>
  <c r="D55" i="13"/>
  <c r="C55" i="13"/>
  <c r="V55" i="13" s="1"/>
  <c r="AB55" i="13" s="1"/>
  <c r="D45" i="13"/>
  <c r="Y42" i="13"/>
  <c r="AM42" i="13" s="1"/>
  <c r="T42" i="13"/>
  <c r="S42" i="13"/>
  <c r="Q42" i="13"/>
  <c r="P42" i="13"/>
  <c r="O42" i="13"/>
  <c r="M42" i="13"/>
  <c r="AN42" i="13" s="1"/>
  <c r="L42" i="13"/>
  <c r="J42" i="13"/>
  <c r="I42" i="13"/>
  <c r="X42" i="13" s="1"/>
  <c r="AL42" i="13" s="1"/>
  <c r="AT42" i="13" s="1"/>
  <c r="G42" i="13"/>
  <c r="F42" i="13"/>
  <c r="E42" i="13"/>
  <c r="D42" i="13"/>
  <c r="W42" i="13" s="1"/>
  <c r="AC42" i="13" s="1"/>
  <c r="C42" i="13"/>
  <c r="V42" i="13" s="1"/>
  <c r="AB42" i="13" s="1"/>
  <c r="AJ42" i="13" s="1"/>
  <c r="AL39" i="13"/>
  <c r="AT39" i="13" s="1"/>
  <c r="Y39" i="13"/>
  <c r="AM39" i="13" s="1"/>
  <c r="W39" i="13"/>
  <c r="T39" i="13"/>
  <c r="S39" i="13"/>
  <c r="Q39" i="13"/>
  <c r="P39" i="13"/>
  <c r="O39" i="13"/>
  <c r="M39" i="13"/>
  <c r="L39" i="13"/>
  <c r="J39" i="13"/>
  <c r="I39" i="13"/>
  <c r="X39" i="13" s="1"/>
  <c r="G39" i="13"/>
  <c r="F39" i="13"/>
  <c r="D39" i="13"/>
  <c r="C39" i="13"/>
  <c r="V39" i="13" s="1"/>
  <c r="AB39" i="13" s="1"/>
  <c r="AN36" i="13"/>
  <c r="AS37" i="13" s="1"/>
  <c r="T36" i="13"/>
  <c r="S36" i="13"/>
  <c r="Q36" i="13"/>
  <c r="P36" i="13"/>
  <c r="O36" i="13"/>
  <c r="N36" i="13"/>
  <c r="M36" i="13"/>
  <c r="L36" i="13"/>
  <c r="J36" i="13"/>
  <c r="Y36" i="13" s="1"/>
  <c r="AM36" i="13" s="1"/>
  <c r="I36" i="13"/>
  <c r="X36" i="13" s="1"/>
  <c r="AL36" i="13" s="1"/>
  <c r="AT36" i="13" s="1"/>
  <c r="G36" i="13"/>
  <c r="W36" i="13" s="1"/>
  <c r="F36" i="13"/>
  <c r="V36" i="13" s="1"/>
  <c r="AB36" i="13" s="1"/>
  <c r="E36" i="13"/>
  <c r="D36" i="13"/>
  <c r="C36" i="13"/>
  <c r="AS32" i="13"/>
  <c r="AQ32" i="13"/>
  <c r="L132" i="13" s="1"/>
  <c r="AP32" i="13"/>
  <c r="AN31" i="13"/>
  <c r="AR32" i="13" s="1"/>
  <c r="L230" i="13" s="1"/>
  <c r="AL31" i="13"/>
  <c r="AT31" i="13" s="1"/>
  <c r="Y31" i="13"/>
  <c r="AM31" i="13" s="1"/>
  <c r="X31" i="13"/>
  <c r="W31" i="13"/>
  <c r="AC31" i="13" s="1"/>
  <c r="V31" i="13"/>
  <c r="AS30" i="13"/>
  <c r="AQ30" i="13"/>
  <c r="AP30" i="13"/>
  <c r="AN29" i="13"/>
  <c r="AR30" i="13" s="1"/>
  <c r="L228" i="13" s="1"/>
  <c r="AL29" i="13"/>
  <c r="Y29" i="13"/>
  <c r="AM29" i="13" s="1"/>
  <c r="AT29" i="13" s="1"/>
  <c r="X29" i="13"/>
  <c r="W29" i="13"/>
  <c r="AC29" i="13" s="1"/>
  <c r="V29" i="13"/>
  <c r="AD29" i="13" s="1"/>
  <c r="AH30" i="13" s="1"/>
  <c r="D228" i="13" s="1"/>
  <c r="AS28" i="13"/>
  <c r="AQ28" i="13"/>
  <c r="L128" i="13" s="1"/>
  <c r="AP28" i="13"/>
  <c r="AI28" i="13"/>
  <c r="AN27" i="13"/>
  <c r="AR28" i="13" s="1"/>
  <c r="L226" i="13" s="1"/>
  <c r="AL27" i="13"/>
  <c r="Y27" i="13"/>
  <c r="AM27" i="13" s="1"/>
  <c r="AT27" i="13" s="1"/>
  <c r="X27" i="13"/>
  <c r="W27" i="13"/>
  <c r="AC27" i="13" s="1"/>
  <c r="V27" i="13"/>
  <c r="AD27" i="13" s="1"/>
  <c r="AH28" i="13" s="1"/>
  <c r="D226" i="13" s="1"/>
  <c r="AS26" i="13"/>
  <c r="AQ26" i="13"/>
  <c r="L126" i="13" s="1"/>
  <c r="AP26" i="13"/>
  <c r="AI26" i="13"/>
  <c r="AG26" i="13"/>
  <c r="D126" i="13" s="1"/>
  <c r="AN25" i="13"/>
  <c r="AR26" i="13" s="1"/>
  <c r="L224" i="13" s="1"/>
  <c r="AL25" i="13"/>
  <c r="Y25" i="13"/>
  <c r="AM25" i="13" s="1"/>
  <c r="X25" i="13"/>
  <c r="W25" i="13"/>
  <c r="AC25" i="13" s="1"/>
  <c r="V25" i="13"/>
  <c r="AD25" i="13" s="1"/>
  <c r="AH26" i="13" s="1"/>
  <c r="D224" i="13" s="1"/>
  <c r="AS24" i="13"/>
  <c r="AQ24" i="13"/>
  <c r="L124" i="13" s="1"/>
  <c r="AP24" i="13"/>
  <c r="AN23" i="13"/>
  <c r="AR24" i="13" s="1"/>
  <c r="L222" i="13" s="1"/>
  <c r="AL23" i="13"/>
  <c r="Y23" i="13"/>
  <c r="AM23" i="13" s="1"/>
  <c r="X23" i="13"/>
  <c r="W23" i="13"/>
  <c r="AC23" i="13" s="1"/>
  <c r="V23" i="13"/>
  <c r="AS22" i="13"/>
  <c r="AQ22" i="13"/>
  <c r="L122" i="13" s="1"/>
  <c r="AP22" i="13"/>
  <c r="AN21" i="13"/>
  <c r="AR22" i="13" s="1"/>
  <c r="L220" i="13" s="1"/>
  <c r="AL21" i="13"/>
  <c r="Y21" i="13"/>
  <c r="AM21" i="13" s="1"/>
  <c r="AT21" i="13" s="1"/>
  <c r="X21" i="13"/>
  <c r="W21" i="13"/>
  <c r="AC21" i="13" s="1"/>
  <c r="V21" i="13"/>
  <c r="AD21" i="13" s="1"/>
  <c r="AH22" i="13" s="1"/>
  <c r="D220" i="13" s="1"/>
  <c r="AS20" i="13"/>
  <c r="AQ20" i="13"/>
  <c r="L120" i="13" s="1"/>
  <c r="AP20" i="13"/>
  <c r="AI20" i="13"/>
  <c r="AN19" i="13"/>
  <c r="AR20" i="13" s="1"/>
  <c r="L218" i="13" s="1"/>
  <c r="AL19" i="13"/>
  <c r="Y19" i="13"/>
  <c r="AM19" i="13" s="1"/>
  <c r="AT19" i="13" s="1"/>
  <c r="X19" i="13"/>
  <c r="W19" i="13"/>
  <c r="AC19" i="13" s="1"/>
  <c r="V19" i="13"/>
  <c r="AD19" i="13" s="1"/>
  <c r="AH20" i="13" s="1"/>
  <c r="D218" i="13" s="1"/>
  <c r="AS18" i="13"/>
  <c r="AQ18" i="13"/>
  <c r="AP18" i="13"/>
  <c r="AI18" i="13"/>
  <c r="AG18" i="13"/>
  <c r="D118" i="13" s="1"/>
  <c r="AN17" i="13"/>
  <c r="AR18" i="13" s="1"/>
  <c r="AL17" i="13"/>
  <c r="Y17" i="13"/>
  <c r="AM17" i="13" s="1"/>
  <c r="X17" i="13"/>
  <c r="W17" i="13"/>
  <c r="AC17" i="13" s="1"/>
  <c r="V17" i="13"/>
  <c r="AD17" i="13" s="1"/>
  <c r="AH18" i="13" s="1"/>
  <c r="D216" i="13" s="1"/>
  <c r="AS16" i="13"/>
  <c r="AQ16" i="13"/>
  <c r="L116" i="13" s="1"/>
  <c r="AP16" i="13"/>
  <c r="AN15" i="13"/>
  <c r="AR16" i="13" s="1"/>
  <c r="AL15" i="13"/>
  <c r="Y15" i="13"/>
  <c r="AM15" i="13" s="1"/>
  <c r="X15" i="13"/>
  <c r="W15" i="13"/>
  <c r="AC15" i="13" s="1"/>
  <c r="V15" i="13"/>
  <c r="AS14" i="13"/>
  <c r="AQ14" i="13"/>
  <c r="L114" i="13" s="1"/>
  <c r="AP14" i="13"/>
  <c r="AN13" i="13"/>
  <c r="AR14" i="13" s="1"/>
  <c r="L212" i="13" s="1"/>
  <c r="AL13" i="13"/>
  <c r="Y13" i="13"/>
  <c r="AM13" i="13" s="1"/>
  <c r="AT13" i="13" s="1"/>
  <c r="X13" i="13"/>
  <c r="W13" i="13"/>
  <c r="AC13" i="13" s="1"/>
  <c r="V13" i="13"/>
  <c r="AD13" i="13" s="1"/>
  <c r="AH14" i="13" s="1"/>
  <c r="D212" i="13" s="1"/>
  <c r="AS12" i="13"/>
  <c r="AQ12" i="13"/>
  <c r="AP12" i="13"/>
  <c r="AI12" i="13"/>
  <c r="AN11" i="13"/>
  <c r="AR12" i="13" s="1"/>
  <c r="L210" i="13" s="1"/>
  <c r="AL11" i="13"/>
  <c r="Y11" i="13"/>
  <c r="AM11" i="13" s="1"/>
  <c r="AT11" i="13" s="1"/>
  <c r="X11" i="13"/>
  <c r="W11" i="13"/>
  <c r="AC11" i="13" s="1"/>
  <c r="V11" i="13"/>
  <c r="AD11" i="13" s="1"/>
  <c r="AH12" i="13" s="1"/>
  <c r="D210" i="13" s="1"/>
  <c r="AS10" i="13"/>
  <c r="AQ10" i="13"/>
  <c r="AP10" i="13"/>
  <c r="AI10" i="13"/>
  <c r="AG10" i="13"/>
  <c r="D110" i="13" s="1"/>
  <c r="AN9" i="13"/>
  <c r="AR10" i="13" s="1"/>
  <c r="AL9" i="13"/>
  <c r="AT9" i="13" s="1"/>
  <c r="Y9" i="13"/>
  <c r="AM9" i="13" s="1"/>
  <c r="X9" i="13"/>
  <c r="W9" i="13"/>
  <c r="AC9" i="13" s="1"/>
  <c r="V9" i="13"/>
  <c r="AD9" i="13" s="1"/>
  <c r="AH10" i="13" s="1"/>
  <c r="D208" i="13" s="1"/>
  <c r="T138" i="13" l="1"/>
  <c r="AS27" i="13"/>
  <c r="AQ27" i="13"/>
  <c r="J226" i="13" s="1"/>
  <c r="M226" i="13" s="1"/>
  <c r="O226" i="13" s="1"/>
  <c r="AP27" i="13"/>
  <c r="J128" i="13" s="1"/>
  <c r="M128" i="13" s="1"/>
  <c r="O128" i="13" s="1"/>
  <c r="AR27" i="13"/>
  <c r="AJ36" i="13"/>
  <c r="AS39" i="13"/>
  <c r="AQ39" i="13"/>
  <c r="J242" i="13" s="1"/>
  <c r="AP39" i="13"/>
  <c r="J144" i="13" s="1"/>
  <c r="AR39" i="13"/>
  <c r="AM73" i="13"/>
  <c r="AJ39" i="13"/>
  <c r="AP43" i="13"/>
  <c r="AS43" i="13"/>
  <c r="AR43" i="13"/>
  <c r="L238" i="13" s="1"/>
  <c r="AQ43" i="13"/>
  <c r="L140" i="13" s="1"/>
  <c r="W63" i="13"/>
  <c r="AR65" i="13"/>
  <c r="AP65" i="13"/>
  <c r="J162" i="13" s="1"/>
  <c r="AS65" i="13"/>
  <c r="AQ65" i="13"/>
  <c r="J260" i="13" s="1"/>
  <c r="W75" i="13"/>
  <c r="AS11" i="13"/>
  <c r="AQ11" i="13"/>
  <c r="J210" i="13" s="1"/>
  <c r="M210" i="13" s="1"/>
  <c r="O210" i="13" s="1"/>
  <c r="AR11" i="13"/>
  <c r="AP11" i="13"/>
  <c r="J112" i="13" s="1"/>
  <c r="M112" i="13" s="1"/>
  <c r="O112" i="13" s="1"/>
  <c r="AF13" i="13"/>
  <c r="C114" i="13" s="1"/>
  <c r="AT15" i="13"/>
  <c r="AT25" i="13"/>
  <c r="AF27" i="13"/>
  <c r="C128" i="13" s="1"/>
  <c r="AS29" i="13"/>
  <c r="AR29" i="13"/>
  <c r="AQ29" i="13"/>
  <c r="J228" i="13" s="1"/>
  <c r="M228" i="13" s="1"/>
  <c r="O228" i="13" s="1"/>
  <c r="AP29" i="13"/>
  <c r="J130" i="13" s="1"/>
  <c r="M130" i="13" s="1"/>
  <c r="O130" i="13" s="1"/>
  <c r="AP36" i="13"/>
  <c r="J142" i="13" s="1"/>
  <c r="AS36" i="13"/>
  <c r="AR36" i="13"/>
  <c r="AQ36" i="13"/>
  <c r="J240" i="13" s="1"/>
  <c r="AC39" i="13"/>
  <c r="AQ42" i="13"/>
  <c r="J238" i="13" s="1"/>
  <c r="AS42" i="13"/>
  <c r="AR42" i="13"/>
  <c r="AP42" i="13"/>
  <c r="J140" i="13" s="1"/>
  <c r="AR57" i="13"/>
  <c r="AS57" i="13"/>
  <c r="AQ57" i="13"/>
  <c r="J252" i="13" s="1"/>
  <c r="AP57" i="13"/>
  <c r="J154" i="13" s="1"/>
  <c r="AS9" i="13"/>
  <c r="AP9" i="13"/>
  <c r="J110" i="13" s="1"/>
  <c r="M110" i="13" s="1"/>
  <c r="O110" i="13" s="1"/>
  <c r="AR9" i="13"/>
  <c r="AQ9" i="13"/>
  <c r="J208" i="13" s="1"/>
  <c r="M208" i="13" s="1"/>
  <c r="AS13" i="13"/>
  <c r="AR13" i="13"/>
  <c r="AQ13" i="13"/>
  <c r="J212" i="13" s="1"/>
  <c r="M212" i="13" s="1"/>
  <c r="O212" i="13" s="1"/>
  <c r="AP13" i="13"/>
  <c r="J114" i="13" s="1"/>
  <c r="M114" i="13" s="1"/>
  <c r="O114" i="13" s="1"/>
  <c r="AS31" i="13"/>
  <c r="AR31" i="13"/>
  <c r="AQ31" i="13"/>
  <c r="J230" i="13" s="1"/>
  <c r="M230" i="13" s="1"/>
  <c r="O230" i="13" s="1"/>
  <c r="AP31" i="13"/>
  <c r="J132" i="13" s="1"/>
  <c r="M132" i="13" s="1"/>
  <c r="O132" i="13" s="1"/>
  <c r="AD36" i="13"/>
  <c r="AF9" i="13"/>
  <c r="C110" i="13" s="1"/>
  <c r="F110" i="13" s="1"/>
  <c r="G110" i="13" s="1"/>
  <c r="AS19" i="13"/>
  <c r="AQ19" i="13"/>
  <c r="J218" i="13" s="1"/>
  <c r="M218" i="13" s="1"/>
  <c r="O218" i="13" s="1"/>
  <c r="AP19" i="13"/>
  <c r="J120" i="13" s="1"/>
  <c r="M120" i="13" s="1"/>
  <c r="AR19" i="13"/>
  <c r="AT23" i="13"/>
  <c r="AC36" i="13"/>
  <c r="AG42" i="13"/>
  <c r="AF42" i="13"/>
  <c r="C140" i="13" s="1"/>
  <c r="AI42" i="13"/>
  <c r="AH42" i="13"/>
  <c r="AF15" i="13"/>
  <c r="C116" i="13" s="1"/>
  <c r="AT17" i="13"/>
  <c r="AS21" i="13"/>
  <c r="AR21" i="13"/>
  <c r="AQ21" i="13"/>
  <c r="J220" i="13" s="1"/>
  <c r="M220" i="13" s="1"/>
  <c r="O220" i="13" s="1"/>
  <c r="AP21" i="13"/>
  <c r="J122" i="13" s="1"/>
  <c r="M122" i="13" s="1"/>
  <c r="AT77" i="13"/>
  <c r="AB21" i="13"/>
  <c r="AJ21" i="13" s="1"/>
  <c r="AB29" i="13"/>
  <c r="AJ29" i="13" s="1"/>
  <c r="AB13" i="13"/>
  <c r="AJ13" i="13" s="1"/>
  <c r="AQ37" i="13"/>
  <c r="L142" i="13" s="1"/>
  <c r="AN39" i="13"/>
  <c r="AD39" i="13"/>
  <c r="X67" i="13"/>
  <c r="AL67" i="13" s="1"/>
  <c r="V71" i="13"/>
  <c r="AB11" i="13"/>
  <c r="AJ11" i="13" s="1"/>
  <c r="AF14" i="13"/>
  <c r="AB19" i="13"/>
  <c r="AJ19" i="13" s="1"/>
  <c r="AF22" i="13"/>
  <c r="AB27" i="13"/>
  <c r="AJ27" i="13" s="1"/>
  <c r="AF30" i="13"/>
  <c r="AR37" i="13"/>
  <c r="L240" i="13" s="1"/>
  <c r="AN55" i="13"/>
  <c r="AT85" i="13"/>
  <c r="J88" i="13"/>
  <c r="Y88" i="13" s="1"/>
  <c r="AB9" i="13"/>
  <c r="AJ9" i="13" s="1"/>
  <c r="AF12" i="13"/>
  <c r="AG14" i="13"/>
  <c r="D114" i="13" s="1"/>
  <c r="AB17" i="13"/>
  <c r="AJ17" i="13" s="1"/>
  <c r="AF20" i="13"/>
  <c r="AG22" i="13"/>
  <c r="D122" i="13" s="1"/>
  <c r="AB25" i="13"/>
  <c r="AJ25" i="13" s="1"/>
  <c r="AF25" i="13" s="1"/>
  <c r="C126" i="13" s="1"/>
  <c r="F126" i="13" s="1"/>
  <c r="G126" i="13" s="1"/>
  <c r="AF28" i="13"/>
  <c r="AG30" i="13"/>
  <c r="D130" i="13" s="1"/>
  <c r="AD42" i="13"/>
  <c r="Y77" i="13"/>
  <c r="AM77" i="13" s="1"/>
  <c r="J195" i="13"/>
  <c r="J197" i="13" s="1"/>
  <c r="H36" i="1" s="1"/>
  <c r="L36" i="1" s="1"/>
  <c r="AF10" i="13"/>
  <c r="AG12" i="13"/>
  <c r="D112" i="13" s="1"/>
  <c r="AI14" i="13"/>
  <c r="AD15" i="13"/>
  <c r="AB15" i="13"/>
  <c r="AJ15" i="13" s="1"/>
  <c r="AF18" i="13"/>
  <c r="AG20" i="13"/>
  <c r="D120" i="13" s="1"/>
  <c r="AI22" i="13"/>
  <c r="AD23" i="13"/>
  <c r="AB23" i="13"/>
  <c r="AJ23" i="13" s="1"/>
  <c r="AF26" i="13"/>
  <c r="AG28" i="13"/>
  <c r="D128" i="13" s="1"/>
  <c r="AI30" i="13"/>
  <c r="AD31" i="13"/>
  <c r="AB31" i="13"/>
  <c r="AJ31" i="13" s="1"/>
  <c r="AF31" i="13" s="1"/>
  <c r="C132" i="13" s="1"/>
  <c r="AP37" i="13"/>
  <c r="W61" i="13"/>
  <c r="W65" i="13"/>
  <c r="AC65" i="13" s="1"/>
  <c r="L82" i="13"/>
  <c r="T180" i="13"/>
  <c r="T278" i="13"/>
  <c r="T249" i="13"/>
  <c r="T205" i="13"/>
  <c r="T151" i="13"/>
  <c r="Q110" i="13"/>
  <c r="S110" i="13" s="1"/>
  <c r="J97" i="13"/>
  <c r="J99" i="13" s="1"/>
  <c r="H34" i="5" s="1"/>
  <c r="M34" i="5" s="1"/>
  <c r="Q77" i="13"/>
  <c r="Q85" i="13" s="1"/>
  <c r="L77" i="13"/>
  <c r="F77" i="13"/>
  <c r="S75" i="13"/>
  <c r="AD75" i="13" s="1"/>
  <c r="M75" i="13"/>
  <c r="G75" i="13"/>
  <c r="T73" i="13"/>
  <c r="O73" i="13"/>
  <c r="I73" i="13"/>
  <c r="X73" i="13" s="1"/>
  <c r="AL73" i="13" s="1"/>
  <c r="C73" i="13"/>
  <c r="V73" i="13" s="1"/>
  <c r="AB73" i="13" s="1"/>
  <c r="P71" i="13"/>
  <c r="J71" i="13"/>
  <c r="Y71" i="13" s="1"/>
  <c r="AM71" i="13" s="1"/>
  <c r="AT71" i="13" s="1"/>
  <c r="D71" i="13"/>
  <c r="W71" i="13" s="1"/>
  <c r="Q69" i="13"/>
  <c r="L69" i="13"/>
  <c r="F69" i="13"/>
  <c r="G55" i="13"/>
  <c r="W55" i="13" s="1"/>
  <c r="AC55" i="13" s="1"/>
  <c r="M55" i="13"/>
  <c r="AD55" i="13" s="1"/>
  <c r="S55" i="13"/>
  <c r="AM55" i="13" s="1"/>
  <c r="AT55" i="13" s="1"/>
  <c r="F57" i="13"/>
  <c r="V57" i="13" s="1"/>
  <c r="AB57" i="13" s="1"/>
  <c r="L57" i="13"/>
  <c r="Q57" i="13"/>
  <c r="D59" i="13"/>
  <c r="W59" i="13" s="1"/>
  <c r="AC59" i="13" s="1"/>
  <c r="J59" i="13"/>
  <c r="Y59" i="13" s="1"/>
  <c r="AM59" i="13" s="1"/>
  <c r="AT59" i="13" s="1"/>
  <c r="P59" i="13"/>
  <c r="C61" i="13"/>
  <c r="I61" i="13"/>
  <c r="O61" i="13"/>
  <c r="O88" i="13" s="1"/>
  <c r="T61" i="13"/>
  <c r="T88" i="13" s="1"/>
  <c r="G63" i="13"/>
  <c r="M63" i="13"/>
  <c r="AD63" i="13" s="1"/>
  <c r="S63" i="13"/>
  <c r="AM63" i="13" s="1"/>
  <c r="AT63" i="13" s="1"/>
  <c r="F65" i="13"/>
  <c r="V65" i="13" s="1"/>
  <c r="AB65" i="13" s="1"/>
  <c r="L65" i="13"/>
  <c r="Q65" i="13"/>
  <c r="D67" i="13"/>
  <c r="J67" i="13"/>
  <c r="P67" i="13"/>
  <c r="P82" i="13" s="1"/>
  <c r="C69" i="13"/>
  <c r="J69" i="13"/>
  <c r="Y69" i="13" s="1"/>
  <c r="AM69" i="13" s="1"/>
  <c r="AT69" i="13" s="1"/>
  <c r="S69" i="13"/>
  <c r="F71" i="13"/>
  <c r="M71" i="13"/>
  <c r="AN71" i="13" s="1"/>
  <c r="T71" i="13"/>
  <c r="G73" i="13"/>
  <c r="W73" i="13" s="1"/>
  <c r="AC73" i="13" s="1"/>
  <c r="P73" i="13"/>
  <c r="C75" i="13"/>
  <c r="V75" i="13" s="1"/>
  <c r="AB75" i="13" s="1"/>
  <c r="J75" i="13"/>
  <c r="Y75" i="13" s="1"/>
  <c r="AM75" i="13" s="1"/>
  <c r="AT75" i="13" s="1"/>
  <c r="Q75" i="13"/>
  <c r="D77" i="13"/>
  <c r="M77" i="13"/>
  <c r="M85" i="13" s="1"/>
  <c r="T77" i="13"/>
  <c r="T85" i="13" s="1"/>
  <c r="M238" i="13" l="1"/>
  <c r="O238" i="13" s="1"/>
  <c r="O208" i="13"/>
  <c r="M240" i="13"/>
  <c r="F114" i="13"/>
  <c r="G114" i="13" s="1"/>
  <c r="AP72" i="13"/>
  <c r="AR72" i="13"/>
  <c r="L266" i="13" s="1"/>
  <c r="AS72" i="13"/>
  <c r="AQ72" i="13"/>
  <c r="L168" i="13" s="1"/>
  <c r="AJ55" i="13"/>
  <c r="AH64" i="13"/>
  <c r="D258" i="13" s="1"/>
  <c r="AI64" i="13"/>
  <c r="AG64" i="13"/>
  <c r="D160" i="13" s="1"/>
  <c r="AF64" i="13"/>
  <c r="AS55" i="13"/>
  <c r="AR55" i="13"/>
  <c r="AQ55" i="13"/>
  <c r="J250" i="13" s="1"/>
  <c r="AP55" i="13"/>
  <c r="J152" i="13" s="1"/>
  <c r="AH56" i="13"/>
  <c r="D250" i="13" s="1"/>
  <c r="AI56" i="13"/>
  <c r="AG56" i="13"/>
  <c r="D152" i="13" s="1"/>
  <c r="AF56" i="13"/>
  <c r="AS75" i="13"/>
  <c r="AR75" i="13"/>
  <c r="AQ75" i="13"/>
  <c r="J270" i="13" s="1"/>
  <c r="AP75" i="13"/>
  <c r="J172" i="13" s="1"/>
  <c r="AR69" i="13"/>
  <c r="AS69" i="13"/>
  <c r="AQ69" i="13"/>
  <c r="J264" i="13" s="1"/>
  <c r="AP69" i="13"/>
  <c r="J166" i="13" s="1"/>
  <c r="AS63" i="13"/>
  <c r="AR63" i="13"/>
  <c r="AQ63" i="13"/>
  <c r="J258" i="13" s="1"/>
  <c r="AP63" i="13"/>
  <c r="J160" i="13" s="1"/>
  <c r="AQ59" i="13"/>
  <c r="J254" i="13" s="1"/>
  <c r="AP59" i="13"/>
  <c r="J156" i="13" s="1"/>
  <c r="AS59" i="13"/>
  <c r="AR59" i="13"/>
  <c r="AQ71" i="13"/>
  <c r="J266" i="13" s="1"/>
  <c r="O266" i="13" s="1"/>
  <c r="AP71" i="13"/>
  <c r="J168" i="13" s="1"/>
  <c r="AS71" i="13"/>
  <c r="AR71" i="13"/>
  <c r="AH76" i="13"/>
  <c r="D270" i="13" s="1"/>
  <c r="AI76" i="13"/>
  <c r="AG76" i="13"/>
  <c r="D172" i="13" s="1"/>
  <c r="AF76" i="13"/>
  <c r="D82" i="13"/>
  <c r="W82" i="13" s="1"/>
  <c r="AC82" i="13" s="1"/>
  <c r="AJ82" i="13" s="1"/>
  <c r="W67" i="13"/>
  <c r="T236" i="13"/>
  <c r="W205" i="13"/>
  <c r="AH16" i="13"/>
  <c r="D214" i="13" s="1"/>
  <c r="AI16" i="13"/>
  <c r="AG16" i="13"/>
  <c r="D116" i="13" s="1"/>
  <c r="F116" i="13" s="1"/>
  <c r="G116" i="13" s="1"/>
  <c r="AF16" i="13"/>
  <c r="AF43" i="13"/>
  <c r="AI43" i="13"/>
  <c r="AH43" i="13"/>
  <c r="D238" i="13" s="1"/>
  <c r="AG43" i="13"/>
  <c r="D140" i="13" s="1"/>
  <c r="F140" i="13" s="1"/>
  <c r="G140" i="13" s="1"/>
  <c r="AN61" i="13"/>
  <c r="AN63" i="13"/>
  <c r="AS17" i="13"/>
  <c r="AP17" i="13"/>
  <c r="J118" i="13" s="1"/>
  <c r="M118" i="13" s="1"/>
  <c r="AR17" i="13"/>
  <c r="AQ17" i="13"/>
  <c r="J216" i="13" s="1"/>
  <c r="M216" i="13" s="1"/>
  <c r="O216" i="13" s="1"/>
  <c r="V69" i="13"/>
  <c r="I88" i="13"/>
  <c r="AM88" i="13" s="1"/>
  <c r="X61" i="13"/>
  <c r="AL61" i="13" s="1"/>
  <c r="AT61" i="13" s="1"/>
  <c r="AN75" i="13"/>
  <c r="AI19" i="13"/>
  <c r="AH19" i="13"/>
  <c r="AG19" i="13"/>
  <c r="C218" i="13" s="1"/>
  <c r="F218" i="13" s="1"/>
  <c r="AI13" i="13"/>
  <c r="AG13" i="13"/>
  <c r="C212" i="13" s="1"/>
  <c r="F212" i="13" s="1"/>
  <c r="AH13" i="13"/>
  <c r="AM61" i="13"/>
  <c r="AS25" i="13"/>
  <c r="AP25" i="13"/>
  <c r="J126" i="13" s="1"/>
  <c r="M126" i="13" s="1"/>
  <c r="AR25" i="13"/>
  <c r="AQ25" i="13"/>
  <c r="J224" i="13" s="1"/>
  <c r="M224" i="13" s="1"/>
  <c r="O224" i="13" s="1"/>
  <c r="AI39" i="13"/>
  <c r="AH39" i="13"/>
  <c r="AG39" i="13"/>
  <c r="AF39" i="13"/>
  <c r="C144" i="13" s="1"/>
  <c r="W77" i="13"/>
  <c r="AC77" i="13" s="1"/>
  <c r="D85" i="13"/>
  <c r="W85" i="13" s="1"/>
  <c r="AN65" i="13"/>
  <c r="AD65" i="13"/>
  <c r="C88" i="13"/>
  <c r="V88" i="13" s="1"/>
  <c r="V61" i="13"/>
  <c r="AJ73" i="13"/>
  <c r="L85" i="13"/>
  <c r="AN77" i="13"/>
  <c r="AA110" i="13"/>
  <c r="T110" i="13"/>
  <c r="AD82" i="13"/>
  <c r="AH32" i="13"/>
  <c r="D230" i="13" s="1"/>
  <c r="AI32" i="13"/>
  <c r="AG32" i="13"/>
  <c r="D132" i="13" s="1"/>
  <c r="F132" i="13" s="1"/>
  <c r="AF32" i="13"/>
  <c r="AI23" i="13"/>
  <c r="AH23" i="13"/>
  <c r="AG23" i="13"/>
  <c r="C222" i="13" s="1"/>
  <c r="AN73" i="13"/>
  <c r="AI17" i="13"/>
  <c r="AH17" i="13"/>
  <c r="AG17" i="13"/>
  <c r="C216" i="13" s="1"/>
  <c r="F216" i="13" s="1"/>
  <c r="AT67" i="13"/>
  <c r="AH40" i="13"/>
  <c r="D242" i="13" s="1"/>
  <c r="AG40" i="13"/>
  <c r="D144" i="13" s="1"/>
  <c r="AF40" i="13"/>
  <c r="AI40" i="13"/>
  <c r="AI29" i="13"/>
  <c r="AG29" i="13"/>
  <c r="C228" i="13" s="1"/>
  <c r="F228" i="13" s="1"/>
  <c r="AH29" i="13"/>
  <c r="AI37" i="13"/>
  <c r="AH37" i="13"/>
  <c r="D240" i="13" s="1"/>
  <c r="AG37" i="13"/>
  <c r="D142" i="13" s="1"/>
  <c r="AF37" i="13"/>
  <c r="AF23" i="13"/>
  <c r="C124" i="13" s="1"/>
  <c r="AN59" i="13"/>
  <c r="AF17" i="13"/>
  <c r="C118" i="13" s="1"/>
  <c r="F118" i="13" s="1"/>
  <c r="G118" i="13" s="1"/>
  <c r="AJ57" i="13"/>
  <c r="AR56" i="13"/>
  <c r="L250" i="13" s="1"/>
  <c r="AS56" i="13"/>
  <c r="AQ56" i="13"/>
  <c r="L152" i="13" s="1"/>
  <c r="AP56" i="13"/>
  <c r="AR77" i="13"/>
  <c r="AP77" i="13"/>
  <c r="J174" i="13" s="1"/>
  <c r="AS77" i="13"/>
  <c r="AQ77" i="13"/>
  <c r="J272" i="13" s="1"/>
  <c r="F128" i="13"/>
  <c r="AF59" i="13"/>
  <c r="C156" i="13" s="1"/>
  <c r="AJ59" i="13"/>
  <c r="AN69" i="13"/>
  <c r="AD69" i="13"/>
  <c r="F85" i="13"/>
  <c r="V85" i="13" s="1"/>
  <c r="AB85" i="13" s="1"/>
  <c r="V77" i="13"/>
  <c r="AB77" i="13" s="1"/>
  <c r="AI31" i="13"/>
  <c r="AH31" i="13"/>
  <c r="AG31" i="13"/>
  <c r="C230" i="13" s="1"/>
  <c r="AI9" i="13"/>
  <c r="AH9" i="13"/>
  <c r="AG9" i="13"/>
  <c r="F208" i="13" s="1"/>
  <c r="Q208" i="13" s="1"/>
  <c r="AB71" i="13"/>
  <c r="AJ71" i="13" s="1"/>
  <c r="AD71" i="13"/>
  <c r="AC57" i="13"/>
  <c r="AD59" i="13"/>
  <c r="O120" i="13"/>
  <c r="AC75" i="13"/>
  <c r="AC63" i="13"/>
  <c r="AF36" i="13"/>
  <c r="C142" i="13" s="1"/>
  <c r="AG36" i="13"/>
  <c r="C240" i="13" s="1"/>
  <c r="AI36" i="13"/>
  <c r="AH36" i="13"/>
  <c r="J82" i="13"/>
  <c r="Y82" i="13" s="1"/>
  <c r="AM82" i="13" s="1"/>
  <c r="AT82" i="13" s="1"/>
  <c r="Y67" i="13"/>
  <c r="AM67" i="13" s="1"/>
  <c r="AJ65" i="13"/>
  <c r="AF65" i="13" s="1"/>
  <c r="C162" i="13" s="1"/>
  <c r="AN57" i="13"/>
  <c r="AD57" i="13"/>
  <c r="AC71" i="13"/>
  <c r="AT73" i="13"/>
  <c r="AC61" i="13"/>
  <c r="AH24" i="13"/>
  <c r="D222" i="13" s="1"/>
  <c r="AI24" i="13"/>
  <c r="AG24" i="13"/>
  <c r="D124" i="13" s="1"/>
  <c r="AF24" i="13"/>
  <c r="AI15" i="13"/>
  <c r="AH15" i="13"/>
  <c r="AG15" i="13"/>
  <c r="C214" i="13" s="1"/>
  <c r="AD73" i="13"/>
  <c r="AI25" i="13"/>
  <c r="AH25" i="13"/>
  <c r="AG25" i="13"/>
  <c r="C224" i="13" s="1"/>
  <c r="F224" i="13" s="1"/>
  <c r="AP85" i="13"/>
  <c r="J186" i="13" s="1"/>
  <c r="AS85" i="13"/>
  <c r="AQ85" i="13"/>
  <c r="J284" i="13" s="1"/>
  <c r="AR85" i="13"/>
  <c r="AN67" i="13"/>
  <c r="AI27" i="13"/>
  <c r="AH27" i="13"/>
  <c r="AG27" i="13"/>
  <c r="C226" i="13" s="1"/>
  <c r="F226" i="13" s="1"/>
  <c r="AI11" i="13"/>
  <c r="AH11" i="13"/>
  <c r="AG11" i="13"/>
  <c r="C210" i="13" s="1"/>
  <c r="F210" i="13" s="1"/>
  <c r="AR40" i="13"/>
  <c r="L242" i="13" s="1"/>
  <c r="M242" i="13" s="1"/>
  <c r="AS40" i="13"/>
  <c r="AQ40" i="13"/>
  <c r="L144" i="13" s="1"/>
  <c r="M144" i="13" s="1"/>
  <c r="AP40" i="13"/>
  <c r="AI21" i="13"/>
  <c r="AG21" i="13"/>
  <c r="C220" i="13" s="1"/>
  <c r="F220" i="13" s="1"/>
  <c r="AH21" i="13"/>
  <c r="O122" i="13"/>
  <c r="AF19" i="13"/>
  <c r="C120" i="13" s="1"/>
  <c r="F120" i="13" s="1"/>
  <c r="G120" i="13" s="1"/>
  <c r="AS23" i="13"/>
  <c r="AR23" i="13"/>
  <c r="AQ23" i="13"/>
  <c r="J222" i="13" s="1"/>
  <c r="M222" i="13" s="1"/>
  <c r="O222" i="13" s="1"/>
  <c r="AP23" i="13"/>
  <c r="J124" i="13" s="1"/>
  <c r="M124" i="13" s="1"/>
  <c r="AF29" i="13"/>
  <c r="C130" i="13" s="1"/>
  <c r="F130" i="13" s="1"/>
  <c r="M140" i="13"/>
  <c r="M142" i="13"/>
  <c r="AS15" i="13"/>
  <c r="AR15" i="13"/>
  <c r="AQ15" i="13"/>
  <c r="J214" i="13" s="1"/>
  <c r="M214" i="13" s="1"/>
  <c r="O214" i="13" s="1"/>
  <c r="AP15" i="13"/>
  <c r="J116" i="13" s="1"/>
  <c r="M116" i="13" s="1"/>
  <c r="AF21" i="13"/>
  <c r="C122" i="13" s="1"/>
  <c r="F122" i="13" s="1"/>
  <c r="G122" i="13" s="1"/>
  <c r="AF11" i="13"/>
  <c r="C112" i="13" s="1"/>
  <c r="F112" i="13" s="1"/>
  <c r="G112" i="13" s="1"/>
  <c r="F214" i="13" l="1"/>
  <c r="Q114" i="13"/>
  <c r="S114" i="13" s="1"/>
  <c r="AA112" i="13" s="1"/>
  <c r="O250" i="13"/>
  <c r="Q250" i="13" s="1"/>
  <c r="AC208" i="13" s="1"/>
  <c r="J38" i="1" s="1"/>
  <c r="D38" i="1" s="1"/>
  <c r="K38" i="1" s="1"/>
  <c r="O242" i="13"/>
  <c r="O240" i="13"/>
  <c r="Q240" i="13"/>
  <c r="Q120" i="13"/>
  <c r="S120" i="13" s="1"/>
  <c r="AA118" i="13" s="1"/>
  <c r="F124" i="13"/>
  <c r="G124" i="13" s="1"/>
  <c r="G130" i="13"/>
  <c r="Q130" i="13"/>
  <c r="S130" i="13" s="1"/>
  <c r="Q112" i="13"/>
  <c r="S112" i="13" s="1"/>
  <c r="G128" i="13"/>
  <c r="Q128" i="13"/>
  <c r="S128" i="13" s="1"/>
  <c r="Q122" i="13"/>
  <c r="S122" i="13" s="1"/>
  <c r="G132" i="13"/>
  <c r="Q132" i="13"/>
  <c r="S132" i="13" s="1"/>
  <c r="O152" i="13"/>
  <c r="F142" i="13"/>
  <c r="G142" i="13" s="1"/>
  <c r="F144" i="13"/>
  <c r="G144" i="13" s="1"/>
  <c r="O144" i="13"/>
  <c r="O124" i="13"/>
  <c r="G220" i="13"/>
  <c r="Q220" i="13"/>
  <c r="S220" i="13" s="1"/>
  <c r="AI74" i="13"/>
  <c r="AH74" i="13"/>
  <c r="D268" i="13" s="1"/>
  <c r="AG74" i="13"/>
  <c r="D170" i="13" s="1"/>
  <c r="AF74" i="13"/>
  <c r="AQ58" i="13"/>
  <c r="L154" i="13" s="1"/>
  <c r="O154" i="13" s="1"/>
  <c r="AP58" i="13"/>
  <c r="AS58" i="13"/>
  <c r="AR58" i="13"/>
  <c r="L252" i="13" s="1"/>
  <c r="O252" i="13" s="1"/>
  <c r="AF63" i="13"/>
  <c r="C160" i="13" s="1"/>
  <c r="G160" i="13" s="1"/>
  <c r="AJ63" i="13"/>
  <c r="G208" i="13"/>
  <c r="S208" i="13"/>
  <c r="AA208" i="13" s="1"/>
  <c r="AB88" i="13"/>
  <c r="AC88" i="13"/>
  <c r="AD88" i="13"/>
  <c r="O126" i="13"/>
  <c r="Q126" i="13"/>
  <c r="S126" i="13" s="1"/>
  <c r="AA124" i="13" s="1"/>
  <c r="O118" i="13"/>
  <c r="Q118" i="13"/>
  <c r="S118" i="13" s="1"/>
  <c r="AA116" i="13" s="1"/>
  <c r="O140" i="13"/>
  <c r="Q140" i="13"/>
  <c r="S140" i="13" s="1"/>
  <c r="AA114" i="13" s="1"/>
  <c r="G214" i="13"/>
  <c r="Q214" i="13"/>
  <c r="S214" i="13" s="1"/>
  <c r="AP73" i="13"/>
  <c r="J170" i="13" s="1"/>
  <c r="AR73" i="13"/>
  <c r="AQ73" i="13"/>
  <c r="J268" i="13" s="1"/>
  <c r="AS73" i="13"/>
  <c r="AF75" i="13"/>
  <c r="C172" i="13" s="1"/>
  <c r="G172" i="13" s="1"/>
  <c r="AG70" i="13"/>
  <c r="D166" i="13" s="1"/>
  <c r="AF70" i="13"/>
  <c r="AI70" i="13"/>
  <c r="AH70" i="13"/>
  <c r="D264" i="13" s="1"/>
  <c r="AS67" i="13"/>
  <c r="AR67" i="13"/>
  <c r="AQ67" i="13"/>
  <c r="J262" i="13" s="1"/>
  <c r="AP67" i="13"/>
  <c r="J164" i="13" s="1"/>
  <c r="AD77" i="13"/>
  <c r="AB69" i="13"/>
  <c r="AC69" i="13"/>
  <c r="AI55" i="13"/>
  <c r="AH55" i="13"/>
  <c r="AG55" i="13"/>
  <c r="C250" i="13" s="1"/>
  <c r="G250" i="13" s="1"/>
  <c r="G210" i="13"/>
  <c r="Q210" i="13"/>
  <c r="S210" i="13" s="1"/>
  <c r="AF71" i="13"/>
  <c r="C168" i="13" s="1"/>
  <c r="F240" i="13"/>
  <c r="AF72" i="13"/>
  <c r="AG72" i="13"/>
  <c r="D168" i="13" s="1"/>
  <c r="AH72" i="13"/>
  <c r="D266" i="13" s="1"/>
  <c r="AI72" i="13"/>
  <c r="AQ70" i="13"/>
  <c r="L166" i="13" s="1"/>
  <c r="O166" i="13" s="1"/>
  <c r="AP70" i="13"/>
  <c r="AS70" i="13"/>
  <c r="AR70" i="13"/>
  <c r="L264" i="13" s="1"/>
  <c r="O264" i="13" s="1"/>
  <c r="AS74" i="13"/>
  <c r="AP74" i="13"/>
  <c r="AR74" i="13"/>
  <c r="L268" i="13" s="1"/>
  <c r="AQ74" i="13"/>
  <c r="L170" i="13" s="1"/>
  <c r="AN82" i="13"/>
  <c r="AH73" i="13"/>
  <c r="AG73" i="13"/>
  <c r="C268" i="13" s="1"/>
  <c r="AI73" i="13"/>
  <c r="AQ66" i="13"/>
  <c r="L162" i="13" s="1"/>
  <c r="O162" i="13" s="1"/>
  <c r="AR66" i="13"/>
  <c r="L260" i="13" s="1"/>
  <c r="O260" i="13" s="1"/>
  <c r="AP66" i="13"/>
  <c r="AS66" i="13"/>
  <c r="C242" i="13"/>
  <c r="F242" i="13" s="1"/>
  <c r="Q242" i="13" s="1"/>
  <c r="AR76" i="13"/>
  <c r="L270" i="13" s="1"/>
  <c r="O270" i="13" s="1"/>
  <c r="AP76" i="13"/>
  <c r="AQ76" i="13"/>
  <c r="L172" i="13" s="1"/>
  <c r="O172" i="13" s="1"/>
  <c r="AS76" i="13"/>
  <c r="AR64" i="13"/>
  <c r="L258" i="13" s="1"/>
  <c r="O258" i="13" s="1"/>
  <c r="AP64" i="13"/>
  <c r="AS64" i="13"/>
  <c r="AQ64" i="13"/>
  <c r="L160" i="13" s="1"/>
  <c r="O160" i="13" s="1"/>
  <c r="AC67" i="13"/>
  <c r="AD67" i="13"/>
  <c r="O168" i="13"/>
  <c r="AF55" i="13"/>
  <c r="C152" i="13" s="1"/>
  <c r="G152" i="13" s="1"/>
  <c r="O116" i="13"/>
  <c r="Q116" i="13"/>
  <c r="S116" i="13" s="1"/>
  <c r="O142" i="13"/>
  <c r="Q142" i="13"/>
  <c r="S142" i="13" s="1"/>
  <c r="AA120" i="13" s="1"/>
  <c r="AR68" i="13"/>
  <c r="L262" i="13" s="1"/>
  <c r="AQ68" i="13"/>
  <c r="L164" i="13" s="1"/>
  <c r="AP68" i="13"/>
  <c r="AS68" i="13"/>
  <c r="AF61" i="13"/>
  <c r="C158" i="13" s="1"/>
  <c r="AF60" i="13"/>
  <c r="AG60" i="13"/>
  <c r="D156" i="13" s="1"/>
  <c r="G156" i="13" s="1"/>
  <c r="AI60" i="13"/>
  <c r="AH60" i="13"/>
  <c r="D254" i="13" s="1"/>
  <c r="AH57" i="13"/>
  <c r="AG57" i="13"/>
  <c r="C252" i="13" s="1"/>
  <c r="AI57" i="13"/>
  <c r="AN85" i="13"/>
  <c r="AD85" i="13"/>
  <c r="AF77" i="13"/>
  <c r="C174" i="13" s="1"/>
  <c r="X88" i="13"/>
  <c r="AL88" i="13" s="1"/>
  <c r="AT88" i="13" s="1"/>
  <c r="AN88" i="13"/>
  <c r="G226" i="13"/>
  <c r="Q226" i="13"/>
  <c r="S226" i="13" s="1"/>
  <c r="G224" i="13"/>
  <c r="Q224" i="13"/>
  <c r="S224" i="13" s="1"/>
  <c r="AA222" i="13" s="1"/>
  <c r="AH65" i="13"/>
  <c r="AI65" i="13"/>
  <c r="AG65" i="13"/>
  <c r="C260" i="13" s="1"/>
  <c r="AF57" i="13"/>
  <c r="C154" i="13" s="1"/>
  <c r="AJ75" i="13"/>
  <c r="AG66" i="13"/>
  <c r="D162" i="13" s="1"/>
  <c r="G162" i="13" s="1"/>
  <c r="AF66" i="13"/>
  <c r="AI66" i="13"/>
  <c r="AH66" i="13"/>
  <c r="D260" i="13" s="1"/>
  <c r="G212" i="13"/>
  <c r="Q212" i="13"/>
  <c r="S212" i="13" s="1"/>
  <c r="AA210" i="13" s="1"/>
  <c r="AG58" i="13"/>
  <c r="D154" i="13" s="1"/>
  <c r="AI58" i="13"/>
  <c r="AH58" i="13"/>
  <c r="D252" i="13" s="1"/>
  <c r="AF58" i="13"/>
  <c r="AQ82" i="13"/>
  <c r="J282" i="13" s="1"/>
  <c r="AR82" i="13"/>
  <c r="AS82" i="13"/>
  <c r="AP82" i="13"/>
  <c r="J184" i="13" s="1"/>
  <c r="AG71" i="13"/>
  <c r="C266" i="13" s="1"/>
  <c r="G266" i="13" s="1"/>
  <c r="AI71" i="13"/>
  <c r="AH71" i="13"/>
  <c r="F230" i="13"/>
  <c r="AJ77" i="13"/>
  <c r="AG59" i="13"/>
  <c r="C254" i="13" s="1"/>
  <c r="AI59" i="13"/>
  <c r="AH59" i="13"/>
  <c r="AP60" i="13"/>
  <c r="AR60" i="13"/>
  <c r="L254" i="13" s="1"/>
  <c r="O254" i="13" s="1"/>
  <c r="AQ60" i="13"/>
  <c r="L156" i="13" s="1"/>
  <c r="O156" i="13" s="1"/>
  <c r="Q156" i="13" s="1"/>
  <c r="AC112" i="13" s="1"/>
  <c r="AS60" i="13"/>
  <c r="G228" i="13"/>
  <c r="Q228" i="13"/>
  <c r="S228" i="13" s="1"/>
  <c r="G216" i="13"/>
  <c r="Q216" i="13"/>
  <c r="S216" i="13" s="1"/>
  <c r="AA214" i="13" s="1"/>
  <c r="F222" i="13"/>
  <c r="AF83" i="13"/>
  <c r="AH83" i="13"/>
  <c r="D282" i="13" s="1"/>
  <c r="AG83" i="13"/>
  <c r="D184" i="13" s="1"/>
  <c r="AI83" i="13"/>
  <c r="AQ78" i="13"/>
  <c r="L174" i="13" s="1"/>
  <c r="O174" i="13" s="1"/>
  <c r="AR78" i="13"/>
  <c r="L272" i="13" s="1"/>
  <c r="O272" i="13" s="1"/>
  <c r="AS78" i="13"/>
  <c r="AP78" i="13"/>
  <c r="AB61" i="13"/>
  <c r="AJ61" i="13" s="1"/>
  <c r="AD61" i="13"/>
  <c r="AC85" i="13"/>
  <c r="AJ85" i="13" s="1"/>
  <c r="G218" i="13"/>
  <c r="Q218" i="13"/>
  <c r="S218" i="13" s="1"/>
  <c r="AA216" i="13" s="1"/>
  <c r="AP61" i="13"/>
  <c r="J158" i="13" s="1"/>
  <c r="AR61" i="13"/>
  <c r="AQ61" i="13"/>
  <c r="J256" i="13" s="1"/>
  <c r="AS61" i="13"/>
  <c r="AS62" i="13"/>
  <c r="AR62" i="13"/>
  <c r="L256" i="13" s="1"/>
  <c r="AQ62" i="13"/>
  <c r="L158" i="13" s="1"/>
  <c r="AP62" i="13"/>
  <c r="AG82" i="13"/>
  <c r="C282" i="13" s="1"/>
  <c r="G282" i="13" s="1"/>
  <c r="AF82" i="13"/>
  <c r="C184" i="13" s="1"/>
  <c r="AI82" i="13"/>
  <c r="AH82" i="13"/>
  <c r="AF73" i="13"/>
  <c r="C170" i="13" s="1"/>
  <c r="O256" i="13" l="1"/>
  <c r="AC222" i="13"/>
  <c r="L53" i="1" s="1"/>
  <c r="M53" i="1" s="1"/>
  <c r="Q270" i="13"/>
  <c r="Q260" i="13"/>
  <c r="Q266" i="13"/>
  <c r="Q124" i="13"/>
  <c r="S124" i="13" s="1"/>
  <c r="AA122" i="13" s="1"/>
  <c r="AE208" i="13"/>
  <c r="L38" i="1"/>
  <c r="M38" i="1" s="1"/>
  <c r="G184" i="13"/>
  <c r="O158" i="13"/>
  <c r="Q144" i="13"/>
  <c r="S144" i="13" s="1"/>
  <c r="AA126" i="13" s="1"/>
  <c r="Q152" i="13"/>
  <c r="AC110" i="13" s="1"/>
  <c r="AE110" i="13" s="1"/>
  <c r="Q160" i="13"/>
  <c r="AC116" i="13" s="1"/>
  <c r="M57" i="5" s="1"/>
  <c r="N57" i="5" s="1"/>
  <c r="Q172" i="13"/>
  <c r="Q162" i="13"/>
  <c r="AC118" i="13" s="1"/>
  <c r="M44" i="5" s="1"/>
  <c r="N44" i="5" s="1"/>
  <c r="AE222" i="13"/>
  <c r="J53" i="1"/>
  <c r="J56" i="5"/>
  <c r="M56" i="5"/>
  <c r="N56" i="5" s="1"/>
  <c r="G260" i="13"/>
  <c r="G268" i="13"/>
  <c r="G154" i="13"/>
  <c r="Q154" i="13" s="1"/>
  <c r="G170" i="13"/>
  <c r="AF85" i="13"/>
  <c r="C186" i="13" s="1"/>
  <c r="AG85" i="13"/>
  <c r="AH85" i="13"/>
  <c r="AI85" i="13"/>
  <c r="AE112" i="13"/>
  <c r="G252" i="13"/>
  <c r="Q252" i="13" s="1"/>
  <c r="G254" i="13"/>
  <c r="Q254" i="13" s="1"/>
  <c r="O164" i="13"/>
  <c r="T208" i="13"/>
  <c r="G222" i="13"/>
  <c r="Q222" i="13"/>
  <c r="S222" i="13" s="1"/>
  <c r="AA220" i="13" s="1"/>
  <c r="AH77" i="13"/>
  <c r="AI77" i="13"/>
  <c r="AG77" i="13"/>
  <c r="C272" i="13" s="1"/>
  <c r="AR89" i="13"/>
  <c r="L280" i="13" s="1"/>
  <c r="AQ89" i="13"/>
  <c r="L182" i="13" s="1"/>
  <c r="AP89" i="13"/>
  <c r="AS89" i="13"/>
  <c r="AS86" i="13"/>
  <c r="AP86" i="13"/>
  <c r="AR86" i="13"/>
  <c r="L284" i="13" s="1"/>
  <c r="O284" i="13" s="1"/>
  <c r="AQ86" i="13"/>
  <c r="L186" i="13" s="1"/>
  <c r="O186" i="13" s="1"/>
  <c r="AJ67" i="13"/>
  <c r="AF67" i="13" s="1"/>
  <c r="C164" i="13" s="1"/>
  <c r="G240" i="13"/>
  <c r="S240" i="13"/>
  <c r="AA218" i="13" s="1"/>
  <c r="AF69" i="13"/>
  <c r="C166" i="13" s="1"/>
  <c r="G166" i="13" s="1"/>
  <c r="Q166" i="13" s="1"/>
  <c r="AC122" i="13" s="1"/>
  <c r="O262" i="13"/>
  <c r="AI62" i="13"/>
  <c r="AH62" i="13"/>
  <c r="D256" i="13" s="1"/>
  <c r="AG62" i="13"/>
  <c r="D158" i="13" s="1"/>
  <c r="G158" i="13" s="1"/>
  <c r="Q158" i="13" s="1"/>
  <c r="AF62" i="13"/>
  <c r="G242" i="13"/>
  <c r="S242" i="13"/>
  <c r="AA224" i="13" s="1"/>
  <c r="AP83" i="13"/>
  <c r="AS83" i="13"/>
  <c r="AR83" i="13"/>
  <c r="L282" i="13" s="1"/>
  <c r="O282" i="13" s="1"/>
  <c r="AQ83" i="13"/>
  <c r="L184" i="13" s="1"/>
  <c r="O184" i="13" s="1"/>
  <c r="Q184" i="13" s="1"/>
  <c r="AC120" i="13" s="1"/>
  <c r="AG78" i="13"/>
  <c r="D174" i="13" s="1"/>
  <c r="G174" i="13" s="1"/>
  <c r="Q174" i="13" s="1"/>
  <c r="AF78" i="13"/>
  <c r="AI78" i="13"/>
  <c r="AH78" i="13"/>
  <c r="D272" i="13" s="1"/>
  <c r="AI61" i="13"/>
  <c r="AH61" i="13"/>
  <c r="AG61" i="13"/>
  <c r="C256" i="13" s="1"/>
  <c r="AI86" i="13"/>
  <c r="AH86" i="13"/>
  <c r="D284" i="13" s="1"/>
  <c r="G284" i="13" s="1"/>
  <c r="AG86" i="13"/>
  <c r="D186" i="13" s="1"/>
  <c r="AF86" i="13"/>
  <c r="AH68" i="13"/>
  <c r="D262" i="13" s="1"/>
  <c r="AI68" i="13"/>
  <c r="AG68" i="13"/>
  <c r="D164" i="13" s="1"/>
  <c r="AF68" i="13"/>
  <c r="O170" i="13"/>
  <c r="AH89" i="13"/>
  <c r="D280" i="13" s="1"/>
  <c r="AF89" i="13"/>
  <c r="AI89" i="13"/>
  <c r="AG89" i="13"/>
  <c r="D182" i="13" s="1"/>
  <c r="G230" i="13"/>
  <c r="Q230" i="13"/>
  <c r="S230" i="13" s="1"/>
  <c r="AI75" i="13"/>
  <c r="AG75" i="13"/>
  <c r="C270" i="13" s="1"/>
  <c r="G270" i="13" s="1"/>
  <c r="AH75" i="13"/>
  <c r="AS88" i="13"/>
  <c r="AP88" i="13"/>
  <c r="J182" i="13" s="1"/>
  <c r="AR88" i="13"/>
  <c r="AQ88" i="13"/>
  <c r="J280" i="13" s="1"/>
  <c r="G168" i="13"/>
  <c r="Q168" i="13" s="1"/>
  <c r="AC124" i="13" s="1"/>
  <c r="AJ69" i="13"/>
  <c r="O268" i="13"/>
  <c r="AJ88" i="13"/>
  <c r="AI63" i="13"/>
  <c r="AG63" i="13"/>
  <c r="C258" i="13" s="1"/>
  <c r="G258" i="13" s="1"/>
  <c r="Q258" i="13" s="1"/>
  <c r="AH63" i="13"/>
  <c r="AA128" i="13" l="1"/>
  <c r="AC216" i="13"/>
  <c r="L46" i="1" s="1"/>
  <c r="M46" i="1" s="1"/>
  <c r="AC210" i="13"/>
  <c r="L58" i="1" s="1"/>
  <c r="M58" i="1" s="1"/>
  <c r="Q268" i="13"/>
  <c r="AC214" i="13"/>
  <c r="J59" i="1" s="1"/>
  <c r="G272" i="13"/>
  <c r="Q272" i="13" s="1"/>
  <c r="Q284" i="13"/>
  <c r="AC224" i="13" s="1"/>
  <c r="J44" i="1" s="1"/>
  <c r="J36" i="5"/>
  <c r="D36" i="5" s="1"/>
  <c r="L36" i="5" s="1"/>
  <c r="M36" i="5"/>
  <c r="N36" i="5" s="1"/>
  <c r="J57" i="5"/>
  <c r="M51" i="5"/>
  <c r="N51" i="5" s="1"/>
  <c r="AE124" i="13"/>
  <c r="J51" i="5"/>
  <c r="M40" i="5"/>
  <c r="N40" i="5" s="1"/>
  <c r="AE122" i="13"/>
  <c r="J40" i="5"/>
  <c r="D40" i="5" s="1"/>
  <c r="J44" i="5"/>
  <c r="D44" i="5" s="1"/>
  <c r="Q170" i="13"/>
  <c r="AE118" i="13"/>
  <c r="AE116" i="13"/>
  <c r="O280" i="13"/>
  <c r="Q282" i="13"/>
  <c r="AC218" i="13" s="1"/>
  <c r="AE216" i="13"/>
  <c r="J46" i="1"/>
  <c r="J58" i="1"/>
  <c r="AE214" i="13"/>
  <c r="L59" i="1"/>
  <c r="M59" i="1" s="1"/>
  <c r="J41" i="5"/>
  <c r="M41" i="5"/>
  <c r="N41" i="5" s="1"/>
  <c r="AE120" i="13"/>
  <c r="U49" i="5"/>
  <c r="U53" i="5" s="1"/>
  <c r="D41" i="5" s="1"/>
  <c r="G256" i="13"/>
  <c r="Q256" i="13" s="1"/>
  <c r="G164" i="13"/>
  <c r="Q164" i="13" s="1"/>
  <c r="AI88" i="13"/>
  <c r="AH88" i="13"/>
  <c r="AG88" i="13"/>
  <c r="AF88" i="13"/>
  <c r="C182" i="13" s="1"/>
  <c r="G182" i="13" s="1"/>
  <c r="AH69" i="13"/>
  <c r="AG69" i="13"/>
  <c r="C264" i="13" s="1"/>
  <c r="G264" i="13" s="1"/>
  <c r="AI69" i="13"/>
  <c r="AE210" i="13"/>
  <c r="AG67" i="13"/>
  <c r="C262" i="13" s="1"/>
  <c r="G262" i="13" s="1"/>
  <c r="Q262" i="13" s="1"/>
  <c r="AI67" i="13"/>
  <c r="AH67" i="13"/>
  <c r="O182" i="13"/>
  <c r="G186" i="13"/>
  <c r="Q186" i="13" s="1"/>
  <c r="AC126" i="13" s="1"/>
  <c r="Q264" i="13" l="1"/>
  <c r="AC220" i="13" s="1"/>
  <c r="T49" i="1"/>
  <c r="L44" i="1"/>
  <c r="M44" i="1" s="1"/>
  <c r="AE224" i="13"/>
  <c r="Q182" i="13"/>
  <c r="AC114" i="13" s="1"/>
  <c r="J37" i="5" s="1"/>
  <c r="D37" i="5" s="1"/>
  <c r="M42" i="5"/>
  <c r="N42" i="5" s="1"/>
  <c r="J42" i="5"/>
  <c r="AE126" i="13"/>
  <c r="U50" i="5"/>
  <c r="AE218" i="13"/>
  <c r="J43" i="1"/>
  <c r="T48" i="1"/>
  <c r="T52" i="1" s="1"/>
  <c r="L43" i="1"/>
  <c r="M43" i="1" s="1"/>
  <c r="L40" i="5"/>
  <c r="L41" i="5"/>
  <c r="C280" i="13"/>
  <c r="G280" i="13" s="1"/>
  <c r="Q280" i="13" s="1"/>
  <c r="C238" i="13"/>
  <c r="F238" i="13" s="1"/>
  <c r="Q238" i="13" s="1"/>
  <c r="L42" i="1" l="1"/>
  <c r="M42" i="1" s="1"/>
  <c r="J42" i="1"/>
  <c r="AE220" i="13"/>
  <c r="AC212" i="13"/>
  <c r="J39" i="1" s="1"/>
  <c r="M37" i="5"/>
  <c r="N37" i="5" s="1"/>
  <c r="N59" i="5" s="1"/>
  <c r="AC128" i="13"/>
  <c r="AE114" i="13"/>
  <c r="AE128" i="13" s="1"/>
  <c r="L37" i="5"/>
  <c r="G238" i="13"/>
  <c r="S238" i="13"/>
  <c r="AA212" i="13" s="1"/>
  <c r="AA226" i="13" s="1"/>
  <c r="AE212" i="13" l="1"/>
  <c r="AE226" i="13" s="1"/>
  <c r="AC226" i="13"/>
  <c r="L39" i="1"/>
  <c r="M39" i="1" s="1"/>
  <c r="M61" i="1" s="1"/>
  <c r="M59" i="5"/>
  <c r="D39" i="1"/>
  <c r="L25" i="12"/>
  <c r="L61" i="1" l="1"/>
  <c r="K39" i="1"/>
  <c r="M64" i="12"/>
  <c r="M63" i="12"/>
  <c r="L64" i="12"/>
  <c r="L63" i="12"/>
  <c r="M29" i="12"/>
  <c r="M28" i="12"/>
  <c r="L29" i="12"/>
  <c r="P29" i="12" s="1"/>
  <c r="L28" i="12"/>
  <c r="P28" i="12" s="1"/>
  <c r="G62" i="11"/>
  <c r="D62" i="11"/>
  <c r="G62" i="9"/>
  <c r="D62" i="9"/>
  <c r="M31" i="12"/>
  <c r="D17" i="1" l="1"/>
  <c r="G17" i="1" s="1"/>
  <c r="Q64" i="12"/>
  <c r="D16" i="5"/>
  <c r="K48" i="1"/>
  <c r="U123" i="5"/>
  <c r="G16" i="5" l="1"/>
  <c r="O132" i="5"/>
  <c r="J19" i="12"/>
  <c r="C83" i="5" l="1"/>
  <c r="O107" i="5"/>
  <c r="O123" i="5"/>
  <c r="P5" i="5" l="1"/>
  <c r="I11" i="5"/>
  <c r="U73" i="5"/>
  <c r="U74" i="5"/>
  <c r="U75" i="5"/>
  <c r="U76" i="5"/>
  <c r="U77" i="5"/>
  <c r="U78" i="5"/>
  <c r="U79" i="5"/>
  <c r="U72" i="5"/>
  <c r="AM70" i="5"/>
  <c r="J71" i="5" s="1"/>
  <c r="AC76" i="5"/>
  <c r="AB71" i="5" s="1"/>
  <c r="U81" i="5" l="1"/>
  <c r="J82" i="5" s="1"/>
  <c r="AB79" i="5"/>
  <c r="P82" i="12"/>
  <c r="U83" i="12" s="1"/>
  <c r="D19" i="11"/>
  <c r="O12" i="9"/>
  <c r="O12" i="11"/>
  <c r="AC44" i="9"/>
  <c r="W44" i="9"/>
  <c r="AC43" i="9"/>
  <c r="W43" i="9"/>
  <c r="AC42" i="9"/>
  <c r="W42" i="9"/>
  <c r="AB41" i="9"/>
  <c r="AD41" i="9" s="1"/>
  <c r="V41" i="9"/>
  <c r="X41" i="9" s="1"/>
  <c r="AC36" i="9"/>
  <c r="W36" i="9"/>
  <c r="AC35" i="9"/>
  <c r="W35" i="9"/>
  <c r="AC34" i="9"/>
  <c r="W34" i="9"/>
  <c r="AB30" i="9"/>
  <c r="V30" i="9"/>
  <c r="D17" i="11"/>
  <c r="G17" i="11"/>
  <c r="G19" i="11"/>
  <c r="AC44" i="11"/>
  <c r="W44" i="11"/>
  <c r="AC43" i="11"/>
  <c r="W43" i="11"/>
  <c r="AC42" i="11"/>
  <c r="W42" i="11"/>
  <c r="AB41" i="11"/>
  <c r="AD41" i="11" s="1"/>
  <c r="V41" i="11"/>
  <c r="X41" i="11" s="1"/>
  <c r="AC36" i="11"/>
  <c r="W36" i="11"/>
  <c r="AC35" i="11"/>
  <c r="W35" i="11"/>
  <c r="AC34" i="11"/>
  <c r="W34" i="11"/>
  <c r="AB30" i="11"/>
  <c r="V30" i="11"/>
  <c r="D21" i="1" l="1"/>
  <c r="AE7" i="5"/>
  <c r="Z24" i="1"/>
  <c r="Z22" i="1"/>
  <c r="Z15" i="1"/>
  <c r="Z13" i="1"/>
  <c r="AB21" i="5"/>
  <c r="AB19" i="5"/>
  <c r="AB12" i="5"/>
  <c r="AB10" i="5"/>
  <c r="H68" i="5" l="1"/>
  <c r="Q67" i="5"/>
  <c r="AE8" i="5"/>
  <c r="AF8" i="5" s="1"/>
  <c r="AF7" i="5"/>
  <c r="AD4" i="1"/>
  <c r="AF4" i="5" s="1"/>
  <c r="AD3" i="1"/>
  <c r="AF3" i="5" s="1"/>
  <c r="AN2" i="5" l="1"/>
  <c r="AF9" i="5"/>
  <c r="AD5" i="1"/>
  <c r="AF5" i="5" s="1"/>
  <c r="AQ263" i="5"/>
  <c r="AT263" i="5" s="1"/>
  <c r="AQ264" i="5"/>
  <c r="AS264" i="5" s="1"/>
  <c r="AQ265" i="5"/>
  <c r="AT265" i="5" s="1"/>
  <c r="AQ266" i="5"/>
  <c r="AT266" i="5" s="1"/>
  <c r="AQ267" i="5"/>
  <c r="AS267" i="5" s="1"/>
  <c r="AL263" i="5"/>
  <c r="AO263" i="5" s="1"/>
  <c r="AL264" i="5"/>
  <c r="AN264" i="5" s="1"/>
  <c r="AL265" i="5"/>
  <c r="AN265" i="5" s="1"/>
  <c r="AL266" i="5"/>
  <c r="AO266" i="5" s="1"/>
  <c r="AL267" i="5"/>
  <c r="AO267" i="5" s="1"/>
  <c r="V78" i="12" l="1"/>
  <c r="M81" i="12"/>
  <c r="U78" i="12" s="1"/>
  <c r="B67" i="12" s="1"/>
  <c r="AS263" i="5"/>
  <c r="AT267" i="5"/>
  <c r="AO265" i="5"/>
  <c r="AO264" i="5"/>
  <c r="AT264" i="5"/>
  <c r="AN267" i="5"/>
  <c r="AN263" i="5"/>
  <c r="AS266" i="5"/>
  <c r="AN266" i="5"/>
  <c r="AS265" i="5"/>
  <c r="D32" i="5"/>
  <c r="D34" i="1"/>
  <c r="Q182" i="12"/>
  <c r="AS106" i="5"/>
  <c r="AQ98" i="5"/>
  <c r="AS105" i="5"/>
  <c r="AX103" i="5"/>
  <c r="AX102" i="5"/>
  <c r="AP102" i="5"/>
  <c r="AO98" i="5"/>
  <c r="AP106" i="5"/>
  <c r="AO106" i="5"/>
  <c r="AP103" i="5"/>
  <c r="AO103" i="5"/>
  <c r="AP105" i="5"/>
  <c r="AO105" i="5"/>
  <c r="AO102" i="5"/>
  <c r="B80" i="5"/>
  <c r="AO149" i="5"/>
  <c r="AO150" i="5"/>
  <c r="AO151" i="5"/>
  <c r="AO152" i="5"/>
  <c r="AO153" i="5"/>
  <c r="AE276" i="5"/>
  <c r="M178" i="12"/>
  <c r="AD23" i="5"/>
  <c r="AD14" i="5"/>
  <c r="AB25" i="1"/>
  <c r="AB16" i="1"/>
  <c r="AG202" i="5"/>
  <c r="AJ202" i="5" s="1"/>
  <c r="AG201" i="5"/>
  <c r="AJ201" i="5" s="1"/>
  <c r="AB23" i="1"/>
  <c r="AB14" i="1"/>
  <c r="AD20" i="5"/>
  <c r="AD11" i="5"/>
  <c r="R139" i="5"/>
  <c r="AD157" i="5"/>
  <c r="AQ239" i="5"/>
  <c r="AS239" i="5" s="1"/>
  <c r="AQ229" i="5"/>
  <c r="AT229" i="5" s="1"/>
  <c r="AQ230" i="5"/>
  <c r="AS230" i="5" s="1"/>
  <c r="AQ231" i="5"/>
  <c r="AS231" i="5" s="1"/>
  <c r="AQ232" i="5"/>
  <c r="AS232" i="5" s="1"/>
  <c r="AQ233" i="5"/>
  <c r="AS233" i="5" s="1"/>
  <c r="AQ234" i="5"/>
  <c r="AT234" i="5" s="1"/>
  <c r="AQ235" i="5"/>
  <c r="AT235" i="5" s="1"/>
  <c r="AQ236" i="5"/>
  <c r="AT236" i="5" s="1"/>
  <c r="AQ237" i="5"/>
  <c r="AT237" i="5" s="1"/>
  <c r="AQ238" i="5"/>
  <c r="AT238" i="5" s="1"/>
  <c r="AQ240" i="5"/>
  <c r="AS240" i="5" s="1"/>
  <c r="AQ241" i="5"/>
  <c r="AS241" i="5" s="1"/>
  <c r="AQ242" i="5"/>
  <c r="AS242" i="5" s="1"/>
  <c r="AQ243" i="5"/>
  <c r="AS243" i="5" s="1"/>
  <c r="AQ244" i="5"/>
  <c r="AS244" i="5" s="1"/>
  <c r="AQ245" i="5"/>
  <c r="AS245" i="5" s="1"/>
  <c r="AQ246" i="5"/>
  <c r="AS246" i="5" s="1"/>
  <c r="AQ247" i="5"/>
  <c r="AS247" i="5" s="1"/>
  <c r="AQ248" i="5"/>
  <c r="AS248" i="5" s="1"/>
  <c r="AQ249" i="5"/>
  <c r="AT249" i="5" s="1"/>
  <c r="AQ250" i="5"/>
  <c r="AT250" i="5" s="1"/>
  <c r="AQ251" i="5"/>
  <c r="AT251" i="5" s="1"/>
  <c r="AQ252" i="5"/>
  <c r="AT252" i="5" s="1"/>
  <c r="AQ253" i="5"/>
  <c r="AS253" i="5" s="1"/>
  <c r="AQ254" i="5"/>
  <c r="AS254" i="5" s="1"/>
  <c r="AQ255" i="5"/>
  <c r="AS255" i="5" s="1"/>
  <c r="AQ256" i="5"/>
  <c r="AT256" i="5" s="1"/>
  <c r="AQ257" i="5"/>
  <c r="AS257" i="5" s="1"/>
  <c r="AQ258" i="5"/>
  <c r="AT258" i="5" s="1"/>
  <c r="AQ259" i="5"/>
  <c r="AT259" i="5" s="1"/>
  <c r="AQ260" i="5"/>
  <c r="AT260" i="5" s="1"/>
  <c r="AQ261" i="5"/>
  <c r="AT261" i="5" s="1"/>
  <c r="AQ262" i="5"/>
  <c r="AT262" i="5" s="1"/>
  <c r="AL229" i="5"/>
  <c r="AN229" i="5" s="1"/>
  <c r="AL230" i="5"/>
  <c r="AO230" i="5" s="1"/>
  <c r="AL231" i="5"/>
  <c r="AN231" i="5" s="1"/>
  <c r="AL232" i="5"/>
  <c r="AO232" i="5" s="1"/>
  <c r="AL233" i="5"/>
  <c r="AN233" i="5" s="1"/>
  <c r="AL234" i="5"/>
  <c r="AN234" i="5" s="1"/>
  <c r="AL235" i="5"/>
  <c r="AN235" i="5" s="1"/>
  <c r="AL236" i="5"/>
  <c r="AN236" i="5" s="1"/>
  <c r="AL237" i="5"/>
  <c r="AO237" i="5" s="1"/>
  <c r="AL238" i="5"/>
  <c r="AN238" i="5" s="1"/>
  <c r="AL239" i="5"/>
  <c r="AN239" i="5" s="1"/>
  <c r="AL240" i="5"/>
  <c r="AO240" i="5" s="1"/>
  <c r="AL241" i="5"/>
  <c r="AO241" i="5" s="1"/>
  <c r="AL242" i="5"/>
  <c r="AN242" i="5" s="1"/>
  <c r="AL243" i="5"/>
  <c r="AO243" i="5" s="1"/>
  <c r="AL244" i="5"/>
  <c r="AN244" i="5" s="1"/>
  <c r="AL245" i="5"/>
  <c r="AN245" i="5" s="1"/>
  <c r="AL246" i="5"/>
  <c r="AO246" i="5" s="1"/>
  <c r="AL247" i="5"/>
  <c r="AN247" i="5" s="1"/>
  <c r="AL248" i="5"/>
  <c r="AO248" i="5" s="1"/>
  <c r="AL249" i="5"/>
  <c r="AO249" i="5" s="1"/>
  <c r="AL250" i="5"/>
  <c r="AN250" i="5" s="1"/>
  <c r="AL251" i="5"/>
  <c r="AN251" i="5" s="1"/>
  <c r="AL252" i="5"/>
  <c r="AN252" i="5" s="1"/>
  <c r="AL253" i="5"/>
  <c r="AN253" i="5" s="1"/>
  <c r="AL254" i="5"/>
  <c r="AN254" i="5" s="1"/>
  <c r="AL255" i="5"/>
  <c r="AO255" i="5" s="1"/>
  <c r="AL256" i="5"/>
  <c r="AO256" i="5" s="1"/>
  <c r="AL257" i="5"/>
  <c r="AN257" i="5" s="1"/>
  <c r="AL258" i="5"/>
  <c r="AO258" i="5" s="1"/>
  <c r="AL259" i="5"/>
  <c r="AO259" i="5" s="1"/>
  <c r="AL260" i="5"/>
  <c r="AN260" i="5" s="1"/>
  <c r="AL261" i="5"/>
  <c r="AN261" i="5" s="1"/>
  <c r="AL262" i="5"/>
  <c r="AO262" i="5" s="1"/>
  <c r="AG190" i="5"/>
  <c r="AG191" i="5"/>
  <c r="AE229" i="5"/>
  <c r="AE230" i="5" s="1"/>
  <c r="AE231" i="5" s="1"/>
  <c r="AE232" i="5" s="1"/>
  <c r="AE233" i="5" s="1"/>
  <c r="AE234" i="5" s="1"/>
  <c r="AE235" i="5" s="1"/>
  <c r="AE236" i="5" s="1"/>
  <c r="AE237" i="5" s="1"/>
  <c r="AE238" i="5" s="1"/>
  <c r="AE239" i="5" s="1"/>
  <c r="AE240" i="5" s="1"/>
  <c r="AE241" i="5" s="1"/>
  <c r="AE242" i="5" s="1"/>
  <c r="AE243" i="5" s="1"/>
  <c r="AE244" i="5" s="1"/>
  <c r="AE245" i="5" s="1"/>
  <c r="AE246" i="5" s="1"/>
  <c r="AE247" i="5" s="1"/>
  <c r="AE248" i="5" s="1"/>
  <c r="AE249" i="5" s="1"/>
  <c r="AE250" i="5" s="1"/>
  <c r="AE251" i="5" s="1"/>
  <c r="AE252" i="5" s="1"/>
  <c r="AE253" i="5" s="1"/>
  <c r="AE254" i="5" s="1"/>
  <c r="AE255" i="5" s="1"/>
  <c r="AE256" i="5" s="1"/>
  <c r="AE257" i="5" s="1"/>
  <c r="AE258" i="5" s="1"/>
  <c r="AE259" i="5" s="1"/>
  <c r="AE260" i="5" s="1"/>
  <c r="AE261" i="5" s="1"/>
  <c r="AE262" i="5" s="1"/>
  <c r="AE263" i="5" s="1"/>
  <c r="AE264" i="5" s="1"/>
  <c r="AE265" i="5" s="1"/>
  <c r="AE266" i="5" s="1"/>
  <c r="AE267" i="5" s="1"/>
  <c r="AH204" i="5"/>
  <c r="AH203" i="5"/>
  <c r="AG204" i="5"/>
  <c r="AJ204" i="5" s="1"/>
  <c r="AG203" i="5"/>
  <c r="AJ203" i="5" s="1"/>
  <c r="AG193" i="5"/>
  <c r="AN176" i="5" s="1"/>
  <c r="AG192" i="5"/>
  <c r="AM167" i="5" s="1"/>
  <c r="AH202" i="5"/>
  <c r="AH201" i="5"/>
  <c r="L12" i="12"/>
  <c r="M12" i="12"/>
  <c r="L13" i="12"/>
  <c r="M13" i="12"/>
  <c r="L14" i="12"/>
  <c r="M14" i="12"/>
  <c r="L15" i="12"/>
  <c r="M15" i="12"/>
  <c r="L16" i="12"/>
  <c r="M16" i="12"/>
  <c r="L18" i="12"/>
  <c r="M18" i="12"/>
  <c r="L19" i="12"/>
  <c r="M19" i="12"/>
  <c r="L21" i="12"/>
  <c r="M21" i="12"/>
  <c r="L22" i="12"/>
  <c r="M22" i="12"/>
  <c r="L23" i="12"/>
  <c r="M23" i="12"/>
  <c r="M25" i="12"/>
  <c r="P25" i="12" s="1"/>
  <c r="L26" i="12"/>
  <c r="M26" i="12"/>
  <c r="B32" i="12"/>
  <c r="E32" i="12"/>
  <c r="M33" i="12"/>
  <c r="M34" i="12"/>
  <c r="M35" i="12"/>
  <c r="L47" i="12"/>
  <c r="M47" i="12"/>
  <c r="L48" i="12"/>
  <c r="M48" i="12"/>
  <c r="L49" i="12"/>
  <c r="M49" i="12"/>
  <c r="L50" i="12"/>
  <c r="M50" i="12"/>
  <c r="L51" i="12"/>
  <c r="M51" i="12"/>
  <c r="L53" i="12"/>
  <c r="M53" i="12"/>
  <c r="L54" i="12"/>
  <c r="M54" i="12"/>
  <c r="L56" i="12"/>
  <c r="M56" i="12"/>
  <c r="L57" i="12"/>
  <c r="M57" i="12"/>
  <c r="L58" i="12"/>
  <c r="M58" i="12"/>
  <c r="L60" i="12"/>
  <c r="M60" i="12"/>
  <c r="L61" i="12"/>
  <c r="M61" i="12"/>
  <c r="Q63" i="12"/>
  <c r="M66" i="12"/>
  <c r="B69" i="12"/>
  <c r="E69" i="12"/>
  <c r="M68" i="12"/>
  <c r="M69" i="12"/>
  <c r="M70" i="12"/>
  <c r="V81" i="12"/>
  <c r="P186" i="12"/>
  <c r="M188" i="12"/>
  <c r="O101" i="12"/>
  <c r="P83" i="12"/>
  <c r="N159" i="12" s="1"/>
  <c r="O138" i="12"/>
  <c r="U138" i="12"/>
  <c r="U145" i="12"/>
  <c r="AA145" i="12"/>
  <c r="U150" i="12"/>
  <c r="L159" i="12"/>
  <c r="M159" i="12"/>
  <c r="R159" i="12"/>
  <c r="O137" i="12" s="1"/>
  <c r="V159" i="12"/>
  <c r="R163" i="12"/>
  <c r="V163" i="12"/>
  <c r="U165" i="12"/>
  <c r="V165" i="12" s="1"/>
  <c r="U166" i="12"/>
  <c r="V166" i="12" s="1"/>
  <c r="U169" i="12"/>
  <c r="V169" i="12" s="1"/>
  <c r="U173" i="12"/>
  <c r="V173" i="12" s="1"/>
  <c r="D9" i="9"/>
  <c r="Q23" i="5" s="1"/>
  <c r="R23" i="5" s="1"/>
  <c r="G9" i="9"/>
  <c r="Q24" i="5" s="1"/>
  <c r="R24" i="5" s="1"/>
  <c r="D14" i="9"/>
  <c r="E14" i="9"/>
  <c r="G14" i="9"/>
  <c r="H14" i="9"/>
  <c r="D17" i="9"/>
  <c r="E17" i="9"/>
  <c r="G17" i="9"/>
  <c r="H17" i="9"/>
  <c r="D18" i="9"/>
  <c r="E18" i="9"/>
  <c r="G18" i="9"/>
  <c r="H18" i="9"/>
  <c r="D19" i="9"/>
  <c r="E19" i="9"/>
  <c r="G19" i="9"/>
  <c r="H19" i="9"/>
  <c r="D20" i="9"/>
  <c r="E20" i="9"/>
  <c r="G20" i="9"/>
  <c r="H20" i="9"/>
  <c r="J21" i="9"/>
  <c r="K21" i="9"/>
  <c r="J22" i="9"/>
  <c r="K22" i="9"/>
  <c r="J23" i="9"/>
  <c r="K23" i="9"/>
  <c r="J24" i="9"/>
  <c r="K24" i="9"/>
  <c r="J25" i="9"/>
  <c r="K25" i="9"/>
  <c r="J26" i="9"/>
  <c r="K26" i="9"/>
  <c r="J27" i="9"/>
  <c r="K27" i="9"/>
  <c r="J28" i="9"/>
  <c r="K28" i="9"/>
  <c r="D30" i="9"/>
  <c r="E30" i="9"/>
  <c r="G30" i="9"/>
  <c r="H30" i="9"/>
  <c r="J31" i="9"/>
  <c r="K31" i="9"/>
  <c r="J32" i="9"/>
  <c r="K32" i="9"/>
  <c r="J33" i="9"/>
  <c r="K33" i="9"/>
  <c r="J34" i="9"/>
  <c r="K34" i="9"/>
  <c r="J35" i="9"/>
  <c r="K35" i="9"/>
  <c r="J36" i="9"/>
  <c r="K36" i="9"/>
  <c r="J37" i="9"/>
  <c r="K37" i="9"/>
  <c r="D39" i="9"/>
  <c r="E39" i="9"/>
  <c r="G39" i="9"/>
  <c r="H39" i="9"/>
  <c r="D40" i="9"/>
  <c r="E40" i="9"/>
  <c r="G40" i="9"/>
  <c r="H40" i="9"/>
  <c r="J41" i="9"/>
  <c r="K41" i="9"/>
  <c r="J42" i="9"/>
  <c r="K42" i="9"/>
  <c r="J43" i="9"/>
  <c r="K43" i="9"/>
  <c r="D46" i="9"/>
  <c r="E46" i="9"/>
  <c r="G46" i="9"/>
  <c r="H46" i="9"/>
  <c r="D47" i="9"/>
  <c r="E47" i="9"/>
  <c r="G47" i="9"/>
  <c r="H47" i="9"/>
  <c r="D48" i="9"/>
  <c r="E48" i="9"/>
  <c r="G48" i="9"/>
  <c r="H48" i="9"/>
  <c r="D51" i="9"/>
  <c r="E51" i="9"/>
  <c r="G51" i="9"/>
  <c r="H51" i="9"/>
  <c r="D52" i="9"/>
  <c r="E52" i="9"/>
  <c r="G52" i="9"/>
  <c r="H52" i="9"/>
  <c r="H56" i="9"/>
  <c r="D61" i="9"/>
  <c r="G61" i="9"/>
  <c r="G71" i="9" s="1"/>
  <c r="J62" i="9"/>
  <c r="K62" i="9"/>
  <c r="J63" i="9"/>
  <c r="K63" i="9"/>
  <c r="J64" i="9"/>
  <c r="K64" i="9"/>
  <c r="J65" i="9"/>
  <c r="K65" i="9"/>
  <c r="J66" i="9"/>
  <c r="K66" i="9"/>
  <c r="J67" i="9"/>
  <c r="K67" i="9"/>
  <c r="J68" i="9"/>
  <c r="K68" i="9"/>
  <c r="J69" i="9"/>
  <c r="K69" i="9"/>
  <c r="F9" i="5"/>
  <c r="F10" i="5"/>
  <c r="L14" i="5"/>
  <c r="L16" i="5"/>
  <c r="AS18" i="5"/>
  <c r="AS19" i="5"/>
  <c r="AS20" i="5"/>
  <c r="D21" i="5"/>
  <c r="AS21" i="5"/>
  <c r="D22" i="5"/>
  <c r="AS22" i="5"/>
  <c r="AS23" i="5"/>
  <c r="AS24" i="5"/>
  <c r="AS25" i="5"/>
  <c r="D26" i="5"/>
  <c r="L26" i="5" s="1"/>
  <c r="AS26" i="5"/>
  <c r="D28" i="5"/>
  <c r="D29" i="5"/>
  <c r="L29" i="5" s="1"/>
  <c r="D30" i="5"/>
  <c r="L30" i="5" s="1"/>
  <c r="H28" i="5"/>
  <c r="AJ31" i="5"/>
  <c r="AK31" i="5"/>
  <c r="AL31" i="5"/>
  <c r="AM31" i="5"/>
  <c r="AN31" i="5"/>
  <c r="AO31" i="5"/>
  <c r="AP31" i="5"/>
  <c r="AQ31" i="5"/>
  <c r="AR31" i="5"/>
  <c r="AJ32" i="5"/>
  <c r="AK32" i="5"/>
  <c r="AL32" i="5"/>
  <c r="AM32" i="5"/>
  <c r="AN32" i="5"/>
  <c r="AO32" i="5"/>
  <c r="AP32" i="5"/>
  <c r="AQ32" i="5"/>
  <c r="AR32" i="5"/>
  <c r="AJ33" i="5"/>
  <c r="AK33" i="5"/>
  <c r="AL33" i="5"/>
  <c r="AM33" i="5"/>
  <c r="AN33" i="5"/>
  <c r="AO33" i="5"/>
  <c r="AP33" i="5"/>
  <c r="AQ33" i="5"/>
  <c r="AR33" i="5"/>
  <c r="AJ34" i="5"/>
  <c r="AK34" i="5"/>
  <c r="AL34" i="5"/>
  <c r="AM34" i="5"/>
  <c r="AN34" i="5"/>
  <c r="AO34" i="5"/>
  <c r="AP34" i="5"/>
  <c r="AQ34" i="5"/>
  <c r="AR34" i="5"/>
  <c r="AJ35" i="5"/>
  <c r="AK35" i="5"/>
  <c r="AL35" i="5"/>
  <c r="AM35" i="5"/>
  <c r="AN35" i="5"/>
  <c r="AO35" i="5"/>
  <c r="AP35" i="5"/>
  <c r="AQ35" i="5"/>
  <c r="AR35" i="5"/>
  <c r="AJ36" i="5"/>
  <c r="AK36" i="5"/>
  <c r="AL36" i="5"/>
  <c r="AM36" i="5"/>
  <c r="AN36" i="5"/>
  <c r="AO36" i="5"/>
  <c r="AP36" i="5"/>
  <c r="AQ36" i="5"/>
  <c r="AR36" i="5"/>
  <c r="AJ37" i="5"/>
  <c r="AK37" i="5"/>
  <c r="AL37" i="5"/>
  <c r="AM37" i="5"/>
  <c r="AN37" i="5"/>
  <c r="AO37" i="5"/>
  <c r="AP37" i="5"/>
  <c r="AQ37" i="5"/>
  <c r="AR37" i="5"/>
  <c r="AJ38" i="5"/>
  <c r="AK38" i="5"/>
  <c r="AL38" i="5"/>
  <c r="AM38" i="5"/>
  <c r="AN38" i="5"/>
  <c r="AO38" i="5"/>
  <c r="AP38" i="5"/>
  <c r="AQ38" i="5"/>
  <c r="AR38" i="5"/>
  <c r="AJ39" i="5"/>
  <c r="AK39" i="5"/>
  <c r="AL39" i="5"/>
  <c r="AM39" i="5"/>
  <c r="AN39" i="5"/>
  <c r="AO39" i="5"/>
  <c r="AP39" i="5"/>
  <c r="AQ39" i="5"/>
  <c r="AR39" i="5"/>
  <c r="AL44" i="5"/>
  <c r="AL45" i="5"/>
  <c r="U17" i="12" s="1"/>
  <c r="AL46" i="5"/>
  <c r="U18" i="12" s="1"/>
  <c r="L46" i="5"/>
  <c r="AL47" i="5"/>
  <c r="AI48" i="5"/>
  <c r="L52" i="5"/>
  <c r="J52" i="5"/>
  <c r="AL53" i="5"/>
  <c r="L54" i="5"/>
  <c r="J54" i="5"/>
  <c r="AL54" i="5"/>
  <c r="L55" i="5"/>
  <c r="J55" i="5"/>
  <c r="AL55" i="5"/>
  <c r="AL56" i="5"/>
  <c r="AL57" i="5"/>
  <c r="L58" i="5"/>
  <c r="J58" i="5"/>
  <c r="AI58" i="5"/>
  <c r="AL61" i="5"/>
  <c r="AL62" i="5"/>
  <c r="AL63" i="5"/>
  <c r="AL64" i="5"/>
  <c r="AI65" i="5"/>
  <c r="W72" i="5"/>
  <c r="X72" i="5" s="1"/>
  <c r="L74" i="5"/>
  <c r="M74" i="5"/>
  <c r="W74" i="5"/>
  <c r="X74" i="5" s="1"/>
  <c r="AH74" i="5"/>
  <c r="L75" i="5"/>
  <c r="M75" i="5"/>
  <c r="W75" i="5"/>
  <c r="X75" i="5" s="1"/>
  <c r="AH75" i="5"/>
  <c r="L76" i="5"/>
  <c r="M76" i="5"/>
  <c r="W76" i="5"/>
  <c r="X76" i="5" s="1"/>
  <c r="AH76" i="5"/>
  <c r="L77" i="5"/>
  <c r="M77" i="5"/>
  <c r="W77" i="5"/>
  <c r="X77" i="5" s="1"/>
  <c r="AH77" i="5"/>
  <c r="L78" i="5"/>
  <c r="M78" i="5"/>
  <c r="W78" i="5"/>
  <c r="X78" i="5" s="1"/>
  <c r="AH78" i="5"/>
  <c r="L79" i="5"/>
  <c r="M79" i="5"/>
  <c r="W79" i="5"/>
  <c r="X79" i="5" s="1"/>
  <c r="AH79" i="5"/>
  <c r="AK91" i="5"/>
  <c r="AK92" i="5"/>
  <c r="AF107" i="5"/>
  <c r="AE215" i="5"/>
  <c r="R257" i="5"/>
  <c r="S257" i="5"/>
  <c r="R258" i="5"/>
  <c r="S258" i="5"/>
  <c r="N285" i="5"/>
  <c r="N287" i="5" s="1"/>
  <c r="N286" i="5"/>
  <c r="D7" i="11"/>
  <c r="S9" i="1" s="1"/>
  <c r="R14" i="1" s="1"/>
  <c r="G7" i="11"/>
  <c r="O54" i="1" s="1"/>
  <c r="P54" i="1" s="1"/>
  <c r="Q14" i="11"/>
  <c r="D14" i="11"/>
  <c r="E14" i="11"/>
  <c r="G14" i="11"/>
  <c r="H14" i="11"/>
  <c r="E17" i="11"/>
  <c r="H17" i="11"/>
  <c r="D18" i="11"/>
  <c r="E18" i="11"/>
  <c r="G18" i="11"/>
  <c r="H18" i="11"/>
  <c r="E19" i="11"/>
  <c r="H19" i="11"/>
  <c r="D20" i="11"/>
  <c r="E20" i="11"/>
  <c r="G20" i="11"/>
  <c r="H20" i="11"/>
  <c r="J21" i="11"/>
  <c r="K21" i="11"/>
  <c r="J22" i="11"/>
  <c r="K22" i="11"/>
  <c r="J23" i="11"/>
  <c r="K23" i="11"/>
  <c r="J24" i="11"/>
  <c r="K24" i="11"/>
  <c r="J25" i="11"/>
  <c r="K25" i="11"/>
  <c r="J26" i="11"/>
  <c r="K26" i="11"/>
  <c r="J27" i="11"/>
  <c r="K27" i="11"/>
  <c r="J28" i="11"/>
  <c r="K28" i="11"/>
  <c r="D30" i="11"/>
  <c r="E30" i="11"/>
  <c r="G30" i="11"/>
  <c r="H30" i="11"/>
  <c r="J31" i="11"/>
  <c r="K31" i="11"/>
  <c r="J32" i="11"/>
  <c r="K32" i="11"/>
  <c r="J33" i="11"/>
  <c r="K33" i="11"/>
  <c r="J34" i="11"/>
  <c r="K34" i="11"/>
  <c r="J35" i="11"/>
  <c r="K35" i="11"/>
  <c r="J36" i="11"/>
  <c r="K36" i="11"/>
  <c r="J37" i="11"/>
  <c r="K37" i="11"/>
  <c r="D39" i="11"/>
  <c r="E39" i="11"/>
  <c r="G39" i="11"/>
  <c r="H39" i="11"/>
  <c r="D40" i="11"/>
  <c r="E40" i="11"/>
  <c r="G40" i="11"/>
  <c r="H40" i="11"/>
  <c r="J41" i="11"/>
  <c r="K41" i="11"/>
  <c r="J42" i="11"/>
  <c r="K42" i="11"/>
  <c r="J43" i="11"/>
  <c r="K43" i="11"/>
  <c r="D46" i="11"/>
  <c r="E46" i="11"/>
  <c r="G46" i="11"/>
  <c r="H46" i="11"/>
  <c r="D47" i="11"/>
  <c r="E47" i="11"/>
  <c r="G47" i="11"/>
  <c r="H47" i="11"/>
  <c r="D48" i="11"/>
  <c r="E48" i="11"/>
  <c r="G48" i="11"/>
  <c r="H48" i="11"/>
  <c r="D51" i="11"/>
  <c r="E51" i="11"/>
  <c r="G51" i="11"/>
  <c r="H51" i="11"/>
  <c r="D52" i="11"/>
  <c r="E52" i="11"/>
  <c r="G52" i="11"/>
  <c r="H52" i="11"/>
  <c r="H56" i="11"/>
  <c r="D61" i="11"/>
  <c r="G61" i="11"/>
  <c r="G71" i="11" s="1"/>
  <c r="J62" i="11"/>
  <c r="K62" i="11"/>
  <c r="J63" i="11"/>
  <c r="K63" i="11"/>
  <c r="J64" i="11"/>
  <c r="K64" i="11"/>
  <c r="J65" i="11"/>
  <c r="K65" i="11"/>
  <c r="J66" i="11"/>
  <c r="K66" i="11"/>
  <c r="J67" i="11"/>
  <c r="K67" i="11"/>
  <c r="J68" i="11"/>
  <c r="K68" i="11"/>
  <c r="J69" i="11"/>
  <c r="K69" i="11"/>
  <c r="F10" i="1"/>
  <c r="F11" i="1"/>
  <c r="K13" i="1"/>
  <c r="K14" i="1"/>
  <c r="K15" i="1"/>
  <c r="K17" i="1"/>
  <c r="AI17" i="1"/>
  <c r="AI30" i="1" s="1"/>
  <c r="AJ17" i="1"/>
  <c r="AJ30" i="1" s="1"/>
  <c r="AK17" i="1"/>
  <c r="AK30" i="1" s="1"/>
  <c r="AL17" i="1"/>
  <c r="AL30" i="1" s="1"/>
  <c r="AM17" i="1"/>
  <c r="AM30" i="1" s="1"/>
  <c r="AN17" i="1"/>
  <c r="AN30" i="1" s="1"/>
  <c r="AO17" i="1"/>
  <c r="AO30" i="1" s="1"/>
  <c r="AP17" i="1"/>
  <c r="AP30" i="1" s="1"/>
  <c r="AQ17" i="1"/>
  <c r="AQ30" i="1" s="1"/>
  <c r="K18" i="1"/>
  <c r="AI18" i="1"/>
  <c r="AI31" i="1" s="1"/>
  <c r="AJ18" i="1"/>
  <c r="AJ31" i="1" s="1"/>
  <c r="AK18" i="1"/>
  <c r="AK31" i="1" s="1"/>
  <c r="AL18" i="1"/>
  <c r="AL31" i="1" s="1"/>
  <c r="AM18" i="1"/>
  <c r="AM31" i="1" s="1"/>
  <c r="AN18" i="1"/>
  <c r="AN31" i="1" s="1"/>
  <c r="AO18" i="1"/>
  <c r="AO31" i="1" s="1"/>
  <c r="AP18" i="1"/>
  <c r="AP31" i="1" s="1"/>
  <c r="AQ18" i="1"/>
  <c r="AQ31" i="1" s="1"/>
  <c r="S19" i="1"/>
  <c r="S25" i="1" s="1"/>
  <c r="AI19" i="1"/>
  <c r="AI32" i="1" s="1"/>
  <c r="AJ19" i="1"/>
  <c r="AJ32" i="1" s="1"/>
  <c r="AK19" i="1"/>
  <c r="AK32" i="1" s="1"/>
  <c r="AL19" i="1"/>
  <c r="AL32" i="1" s="1"/>
  <c r="AM19" i="1"/>
  <c r="AM32" i="1" s="1"/>
  <c r="AN19" i="1"/>
  <c r="AN32" i="1" s="1"/>
  <c r="AO19" i="1"/>
  <c r="AO32" i="1" s="1"/>
  <c r="AP19" i="1"/>
  <c r="AP32" i="1" s="1"/>
  <c r="AQ19" i="1"/>
  <c r="AQ32" i="1" s="1"/>
  <c r="S20" i="1"/>
  <c r="S26" i="1" s="1"/>
  <c r="AI20" i="1"/>
  <c r="AI33" i="1" s="1"/>
  <c r="AJ20" i="1"/>
  <c r="AJ33" i="1" s="1"/>
  <c r="AK20" i="1"/>
  <c r="AK33" i="1" s="1"/>
  <c r="AL20" i="1"/>
  <c r="AL33" i="1" s="1"/>
  <c r="AM20" i="1"/>
  <c r="AM33" i="1" s="1"/>
  <c r="AN20" i="1"/>
  <c r="AN33" i="1" s="1"/>
  <c r="AO20" i="1"/>
  <c r="AO33" i="1" s="1"/>
  <c r="AP20" i="1"/>
  <c r="AP33" i="1" s="1"/>
  <c r="AQ20" i="1"/>
  <c r="AQ33" i="1" s="1"/>
  <c r="P48" i="1"/>
  <c r="AI21" i="1"/>
  <c r="AJ21" i="1"/>
  <c r="AJ34" i="1" s="1"/>
  <c r="AK21" i="1"/>
  <c r="AK34" i="1" s="1"/>
  <c r="AL21" i="1"/>
  <c r="AL34" i="1" s="1"/>
  <c r="AM21" i="1"/>
  <c r="AM34" i="1" s="1"/>
  <c r="AN21" i="1"/>
  <c r="AN34" i="1" s="1"/>
  <c r="AO21" i="1"/>
  <c r="AO34" i="1" s="1"/>
  <c r="AP21" i="1"/>
  <c r="AP34" i="1" s="1"/>
  <c r="AQ21" i="1"/>
  <c r="AQ34" i="1" s="1"/>
  <c r="D22" i="1"/>
  <c r="AI22" i="1"/>
  <c r="AI35" i="1" s="1"/>
  <c r="AJ22" i="1"/>
  <c r="AJ35" i="1" s="1"/>
  <c r="AK22" i="1"/>
  <c r="AK35" i="1" s="1"/>
  <c r="AL22" i="1"/>
  <c r="AL35" i="1" s="1"/>
  <c r="AM22" i="1"/>
  <c r="AM35" i="1" s="1"/>
  <c r="AN22" i="1"/>
  <c r="AN35" i="1" s="1"/>
  <c r="AO22" i="1"/>
  <c r="AO35" i="1" s="1"/>
  <c r="AP22" i="1"/>
  <c r="AP35" i="1" s="1"/>
  <c r="AQ22" i="1"/>
  <c r="AQ35" i="1" s="1"/>
  <c r="AI23" i="1"/>
  <c r="AI36" i="1" s="1"/>
  <c r="AJ23" i="1"/>
  <c r="AJ36" i="1" s="1"/>
  <c r="AK23" i="1"/>
  <c r="AK36" i="1" s="1"/>
  <c r="AL23" i="1"/>
  <c r="AL36" i="1" s="1"/>
  <c r="AM23" i="1"/>
  <c r="AM36" i="1" s="1"/>
  <c r="AN23" i="1"/>
  <c r="AN36" i="1" s="1"/>
  <c r="AO23" i="1"/>
  <c r="AO36" i="1" s="1"/>
  <c r="AP23" i="1"/>
  <c r="AP36" i="1" s="1"/>
  <c r="AQ23" i="1"/>
  <c r="AQ36" i="1" s="1"/>
  <c r="AI24" i="1"/>
  <c r="AI37" i="1" s="1"/>
  <c r="AJ24" i="1"/>
  <c r="AJ37" i="1" s="1"/>
  <c r="AK24" i="1"/>
  <c r="AL24" i="1"/>
  <c r="AL37" i="1" s="1"/>
  <c r="AM24" i="1"/>
  <c r="AM37" i="1" s="1"/>
  <c r="AN24" i="1"/>
  <c r="AN37" i="1" s="1"/>
  <c r="AO24" i="1"/>
  <c r="AO37" i="1" s="1"/>
  <c r="AP24" i="1"/>
  <c r="AP37" i="1" s="1"/>
  <c r="AQ24" i="1"/>
  <c r="AQ37" i="1" s="1"/>
  <c r="AI25" i="1"/>
  <c r="AI38" i="1" s="1"/>
  <c r="AJ25" i="1"/>
  <c r="AJ38" i="1" s="1"/>
  <c r="AK25" i="1"/>
  <c r="AK38" i="1" s="1"/>
  <c r="AL25" i="1"/>
  <c r="AL38" i="1" s="1"/>
  <c r="AM25" i="1"/>
  <c r="AM38" i="1" s="1"/>
  <c r="AN25" i="1"/>
  <c r="AN38" i="1" s="1"/>
  <c r="AO25" i="1"/>
  <c r="AO38" i="1" s="1"/>
  <c r="AP25" i="1"/>
  <c r="AP38" i="1" s="1"/>
  <c r="AQ25" i="1"/>
  <c r="AQ38" i="1" s="1"/>
  <c r="D28" i="1"/>
  <c r="K28" i="1" s="1"/>
  <c r="D30" i="1"/>
  <c r="K30" i="1" s="1"/>
  <c r="D31" i="1"/>
  <c r="K31" i="1" s="1"/>
  <c r="D32" i="1"/>
  <c r="K32" i="1" s="1"/>
  <c r="H30" i="1"/>
  <c r="AH43" i="1"/>
  <c r="AH44" i="1"/>
  <c r="AK44" i="1" s="1"/>
  <c r="U59" i="12" s="1"/>
  <c r="AH45" i="1"/>
  <c r="AK45" i="1" s="1"/>
  <c r="U60" i="12" s="1"/>
  <c r="AH46" i="1"/>
  <c r="AK46" i="1" s="1"/>
  <c r="AH52" i="1"/>
  <c r="AK52" i="1" s="1"/>
  <c r="AH53" i="1"/>
  <c r="AK53" i="1" s="1"/>
  <c r="K54" i="1"/>
  <c r="AH54" i="1"/>
  <c r="AK54" i="1" s="1"/>
  <c r="AH55" i="1"/>
  <c r="AK55" i="1" s="1"/>
  <c r="K56" i="1"/>
  <c r="J56" i="1"/>
  <c r="AH56" i="1"/>
  <c r="AK56" i="1" s="1"/>
  <c r="K57" i="1"/>
  <c r="J57" i="1"/>
  <c r="K60" i="1"/>
  <c r="J60" i="1"/>
  <c r="AH60" i="1"/>
  <c r="AK60" i="1" s="1"/>
  <c r="AH61" i="1"/>
  <c r="AK61" i="1" s="1"/>
  <c r="AH62" i="1"/>
  <c r="AK62" i="1" s="1"/>
  <c r="AH63" i="1"/>
  <c r="AK63" i="1" s="1"/>
  <c r="K90" i="1"/>
  <c r="L90" i="1"/>
  <c r="M90" i="1"/>
  <c r="N90" i="1"/>
  <c r="O90" i="1"/>
  <c r="G90" i="1" s="1"/>
  <c r="G92" i="1" s="1"/>
  <c r="Q90" i="1"/>
  <c r="R90" i="1"/>
  <c r="S90" i="1" s="1"/>
  <c r="H90" i="1" s="1"/>
  <c r="H92" i="1" s="1"/>
  <c r="U90" i="1"/>
  <c r="G91" i="1"/>
  <c r="H91" i="1"/>
  <c r="K91" i="1"/>
  <c r="S91" i="1" s="1"/>
  <c r="L91" i="1"/>
  <c r="M91" i="1"/>
  <c r="N91" i="1"/>
  <c r="O91" i="1"/>
  <c r="Q91" i="1"/>
  <c r="R91" i="1"/>
  <c r="U91" i="1"/>
  <c r="B92" i="1"/>
  <c r="P97" i="1"/>
  <c r="S97" i="1"/>
  <c r="M115" i="1"/>
  <c r="M117" i="1" s="1"/>
  <c r="M116" i="1"/>
  <c r="AO124" i="5"/>
  <c r="AO115" i="5"/>
  <c r="AO139" i="5"/>
  <c r="AO135" i="5"/>
  <c r="AO128" i="5"/>
  <c r="AO148" i="5"/>
  <c r="AO144" i="5"/>
  <c r="AO141" i="5"/>
  <c r="AO137" i="5"/>
  <c r="AO133" i="5"/>
  <c r="AO130" i="5"/>
  <c r="AO121" i="5"/>
  <c r="AO117" i="5"/>
  <c r="AO116" i="5"/>
  <c r="AO118" i="5"/>
  <c r="AO120" i="5"/>
  <c r="AO123" i="5"/>
  <c r="AO125" i="5"/>
  <c r="AO127" i="5"/>
  <c r="AO131" i="5"/>
  <c r="AO132" i="5"/>
  <c r="AO134" i="5"/>
  <c r="AO140" i="5"/>
  <c r="AO142" i="5"/>
  <c r="AO143" i="5"/>
  <c r="AO147" i="5"/>
  <c r="L12" i="5"/>
  <c r="L17" i="5"/>
  <c r="L13" i="5"/>
  <c r="AH224" i="5"/>
  <c r="K40" i="1"/>
  <c r="P184" i="12"/>
  <c r="O139" i="5"/>
  <c r="AO146" i="5"/>
  <c r="AO119" i="5"/>
  <c r="AO138" i="5"/>
  <c r="AO126" i="5"/>
  <c r="AO114" i="5"/>
  <c r="AO122" i="5"/>
  <c r="AO129" i="5"/>
  <c r="AO136" i="5"/>
  <c r="AO145" i="5"/>
  <c r="L73" i="5"/>
  <c r="AG196" i="5"/>
  <c r="M72" i="5"/>
  <c r="AH72" i="5"/>
  <c r="L72" i="5"/>
  <c r="AF105" i="5" s="1"/>
  <c r="U152" i="12"/>
  <c r="AG9" i="5" l="1"/>
  <c r="G99" i="5" s="1"/>
  <c r="AG5" i="5"/>
  <c r="AH5" i="5" s="1"/>
  <c r="H97" i="5" s="1"/>
  <c r="G93" i="5"/>
  <c r="M78" i="12"/>
  <c r="M65" i="12"/>
  <c r="P26" i="12"/>
  <c r="P27" i="12"/>
  <c r="P23" i="12"/>
  <c r="P22" i="12"/>
  <c r="P21" i="12"/>
  <c r="P24" i="12"/>
  <c r="D71" i="11"/>
  <c r="D16" i="1"/>
  <c r="D71" i="9"/>
  <c r="D15" i="5"/>
  <c r="G15" i="5" s="1"/>
  <c r="Q54" i="12"/>
  <c r="P18" i="12"/>
  <c r="Q60" i="12"/>
  <c r="Q57" i="12"/>
  <c r="U81" i="12"/>
  <c r="AK72" i="5"/>
  <c r="S5" i="5"/>
  <c r="O136" i="5" s="1"/>
  <c r="S79" i="5"/>
  <c r="AJ79" i="5" s="1"/>
  <c r="O122" i="5"/>
  <c r="S72" i="5"/>
  <c r="AJ72" i="5" s="1"/>
  <c r="Z72" i="5" s="1"/>
  <c r="S78" i="5"/>
  <c r="AJ78" i="5" s="1"/>
  <c r="S77" i="5"/>
  <c r="AJ77" i="5" s="1"/>
  <c r="S76" i="5"/>
  <c r="AJ76" i="5" s="1"/>
  <c r="S75" i="5"/>
  <c r="AJ75" i="5" s="1"/>
  <c r="AK74" i="5"/>
  <c r="S74" i="5"/>
  <c r="AJ74" i="5" s="1"/>
  <c r="N72" i="5"/>
  <c r="AI72" i="5" s="1"/>
  <c r="I72" i="5" s="1"/>
  <c r="N79" i="5"/>
  <c r="AI79" i="5" s="1"/>
  <c r="I79" i="5" s="1"/>
  <c r="N78" i="5"/>
  <c r="AI78" i="5" s="1"/>
  <c r="I78" i="5" s="1"/>
  <c r="N77" i="5"/>
  <c r="AI77" i="5" s="1"/>
  <c r="I77" i="5" s="1"/>
  <c r="N76" i="5"/>
  <c r="AI76" i="5" s="1"/>
  <c r="I76" i="5" s="1"/>
  <c r="N75" i="5"/>
  <c r="AI75" i="5" s="1"/>
  <c r="I75" i="5" s="1"/>
  <c r="N74" i="5"/>
  <c r="AI74" i="5" s="1"/>
  <c r="I74" i="5" s="1"/>
  <c r="AK76" i="5"/>
  <c r="AK77" i="5"/>
  <c r="AK75" i="5"/>
  <c r="AK78" i="5"/>
  <c r="AK79" i="5"/>
  <c r="Q53" i="12"/>
  <c r="Q58" i="12"/>
  <c r="Q56" i="12"/>
  <c r="Q61" i="12"/>
  <c r="R46" i="5"/>
  <c r="J48" i="9"/>
  <c r="S27" i="1"/>
  <c r="O145" i="1" s="1"/>
  <c r="Q248" i="5" s="1"/>
  <c r="J52" i="11"/>
  <c r="AL228" i="5"/>
  <c r="P12" i="12"/>
  <c r="W73" i="5"/>
  <c r="X73" i="5" s="1"/>
  <c r="K47" i="11"/>
  <c r="K47" i="9"/>
  <c r="J61" i="11"/>
  <c r="J48" i="11"/>
  <c r="J47" i="11"/>
  <c r="J46" i="11"/>
  <c r="J47" i="9"/>
  <c r="J46" i="9"/>
  <c r="K39" i="9"/>
  <c r="R45" i="5"/>
  <c r="K39" i="11"/>
  <c r="K17" i="9"/>
  <c r="K48" i="11"/>
  <c r="J40" i="9"/>
  <c r="K52" i="11"/>
  <c r="J51" i="11"/>
  <c r="K46" i="9"/>
  <c r="K30" i="9"/>
  <c r="K61" i="9"/>
  <c r="J40" i="11"/>
  <c r="J39" i="11"/>
  <c r="K52" i="9"/>
  <c r="K40" i="9"/>
  <c r="K46" i="11"/>
  <c r="K40" i="11"/>
  <c r="J52" i="9"/>
  <c r="K48" i="9"/>
  <c r="M62" i="12"/>
  <c r="K51" i="11"/>
  <c r="J20" i="11"/>
  <c r="J19" i="11"/>
  <c r="V18" i="11" s="1"/>
  <c r="J18" i="11"/>
  <c r="J17" i="11"/>
  <c r="S159" i="12"/>
  <c r="T159" i="12" s="1"/>
  <c r="O130" i="12" s="1"/>
  <c r="P15" i="12"/>
  <c r="L62" i="12"/>
  <c r="Q50" i="12"/>
  <c r="J30" i="11"/>
  <c r="K18" i="11"/>
  <c r="O53" i="1"/>
  <c r="P53" i="1" s="1"/>
  <c r="P55" i="1" s="1"/>
  <c r="F24" i="1" s="1"/>
  <c r="AI7" i="11" s="1"/>
  <c r="P45" i="1"/>
  <c r="K20" i="11"/>
  <c r="K19" i="11"/>
  <c r="K17" i="11"/>
  <c r="K30" i="11"/>
  <c r="J51" i="9"/>
  <c r="J20" i="9"/>
  <c r="J19" i="9"/>
  <c r="V18" i="9" s="1"/>
  <c r="J18" i="9"/>
  <c r="J17" i="9"/>
  <c r="J30" i="9"/>
  <c r="K51" i="9"/>
  <c r="J39" i="9"/>
  <c r="K20" i="9"/>
  <c r="K19" i="9"/>
  <c r="K18" i="9"/>
  <c r="AA146" i="12"/>
  <c r="U149" i="12"/>
  <c r="U146" i="12"/>
  <c r="AD236" i="5"/>
  <c r="AJ185" i="5"/>
  <c r="AH175" i="5"/>
  <c r="U54" i="5"/>
  <c r="AG166" i="5"/>
  <c r="Q47" i="12"/>
  <c r="AM166" i="5"/>
  <c r="AH167" i="5"/>
  <c r="AH176" i="5"/>
  <c r="M67" i="12"/>
  <c r="D29" i="1"/>
  <c r="K61" i="11"/>
  <c r="Q51" i="12"/>
  <c r="Q49" i="12"/>
  <c r="D27" i="5"/>
  <c r="P16" i="12"/>
  <c r="P14" i="12"/>
  <c r="J61" i="9"/>
  <c r="P19" i="12"/>
  <c r="M32" i="12"/>
  <c r="M36" i="12" s="1"/>
  <c r="P55" i="12"/>
  <c r="M55" i="12"/>
  <c r="O55" i="12"/>
  <c r="L55" i="12"/>
  <c r="Q48" i="12"/>
  <c r="AM168" i="5"/>
  <c r="AM165" i="5"/>
  <c r="AM176" i="5"/>
  <c r="AM175" i="5"/>
  <c r="AQ106" i="5"/>
  <c r="AH166" i="5"/>
  <c r="AH165" i="5"/>
  <c r="AO236" i="5"/>
  <c r="AN240" i="5"/>
  <c r="AH168" i="5"/>
  <c r="AF13" i="5"/>
  <c r="AF14" i="5" s="1"/>
  <c r="AE16" i="5" s="1"/>
  <c r="AF16" i="5" s="1"/>
  <c r="AN230" i="5"/>
  <c r="AN175" i="5"/>
  <c r="AN165" i="5"/>
  <c r="AH73" i="5"/>
  <c r="I73" i="5" s="1"/>
  <c r="AO234" i="5"/>
  <c r="AN168" i="5"/>
  <c r="AN241" i="5"/>
  <c r="AN166" i="5"/>
  <c r="AS33" i="5"/>
  <c r="AS32" i="5"/>
  <c r="R25" i="5"/>
  <c r="D25" i="5" s="1"/>
  <c r="AG9" i="9" s="1"/>
  <c r="AI202" i="5"/>
  <c r="AF166" i="5" s="1"/>
  <c r="AO238" i="5"/>
  <c r="AN167" i="5"/>
  <c r="AI203" i="5"/>
  <c r="AF167" i="5" s="1"/>
  <c r="AS37" i="5"/>
  <c r="AG185" i="5"/>
  <c r="AI204" i="5"/>
  <c r="AH193" i="5" s="1"/>
  <c r="BE105" i="5"/>
  <c r="AN237" i="5"/>
  <c r="AS39" i="5"/>
  <c r="AS38" i="5"/>
  <c r="AS36" i="5"/>
  <c r="AS35" i="5"/>
  <c r="AS34" i="5"/>
  <c r="AS31" i="5"/>
  <c r="AO229" i="5"/>
  <c r="AL65" i="5"/>
  <c r="U23" i="12" s="1"/>
  <c r="AL58" i="5"/>
  <c r="BE103" i="5"/>
  <c r="BE102" i="5"/>
  <c r="AO233" i="5"/>
  <c r="U19" i="12"/>
  <c r="BE106" i="5"/>
  <c r="AJ222" i="5"/>
  <c r="U16" i="12"/>
  <c r="AG194" i="5"/>
  <c r="L28" i="5"/>
  <c r="AL48" i="5"/>
  <c r="AG168" i="5"/>
  <c r="AG165" i="5"/>
  <c r="AI201" i="5"/>
  <c r="AG176" i="5"/>
  <c r="AQ105" i="5"/>
  <c r="R48" i="5"/>
  <c r="AQ103" i="5"/>
  <c r="AO231" i="5"/>
  <c r="AG175" i="5"/>
  <c r="AG167" i="5"/>
  <c r="AQ102" i="5"/>
  <c r="AN256" i="5"/>
  <c r="AO252" i="5"/>
  <c r="AH64" i="1"/>
  <c r="AH57" i="1"/>
  <c r="AR20" i="1"/>
  <c r="AR24" i="1"/>
  <c r="AK57" i="1"/>
  <c r="AK64" i="1"/>
  <c r="AR38" i="1"/>
  <c r="AR36" i="1"/>
  <c r="AR35" i="1"/>
  <c r="AR32" i="1"/>
  <c r="AR21" i="1"/>
  <c r="AR25" i="1"/>
  <c r="AH47" i="1"/>
  <c r="AR30" i="1"/>
  <c r="U61" i="12"/>
  <c r="AR33" i="1"/>
  <c r="AR31" i="1"/>
  <c r="AR18" i="1"/>
  <c r="AR17" i="1"/>
  <c r="AR22" i="1"/>
  <c r="AR23" i="1"/>
  <c r="AI34" i="1"/>
  <c r="AR34" i="1" s="1"/>
  <c r="AK43" i="1"/>
  <c r="AK37" i="1"/>
  <c r="AR37" i="1" s="1"/>
  <c r="AR19" i="1"/>
  <c r="AO253" i="5"/>
  <c r="M73" i="5"/>
  <c r="N73" i="5" s="1"/>
  <c r="AI73" i="5" s="1"/>
  <c r="O236" i="5"/>
  <c r="R236" i="5" s="1"/>
  <c r="AO242" i="5"/>
  <c r="AS261" i="5"/>
  <c r="AT257" i="5"/>
  <c r="AF222" i="5"/>
  <c r="AF185" i="5"/>
  <c r="AN258" i="5"/>
  <c r="AN249" i="5"/>
  <c r="AO250" i="5"/>
  <c r="AO245" i="5"/>
  <c r="AO257" i="5"/>
  <c r="AI207" i="5"/>
  <c r="AE211" i="5" s="1"/>
  <c r="AO94" i="5" s="1"/>
  <c r="AF175" i="5"/>
  <c r="AO254" i="5"/>
  <c r="AN246" i="5"/>
  <c r="AD228" i="5"/>
  <c r="AO261" i="5"/>
  <c r="AF176" i="5"/>
  <c r="O137" i="5"/>
  <c r="AT231" i="5"/>
  <c r="AS235" i="5"/>
  <c r="AT239" i="5"/>
  <c r="AT241" i="5"/>
  <c r="AT232" i="5"/>
  <c r="AT253" i="5"/>
  <c r="AS236" i="5"/>
  <c r="AT230" i="5"/>
  <c r="AS234" i="5"/>
  <c r="AN232" i="5"/>
  <c r="AT255" i="5"/>
  <c r="AS259" i="5"/>
  <c r="AT247" i="5"/>
  <c r="AN243" i="5"/>
  <c r="AT242" i="5"/>
  <c r="AS250" i="5"/>
  <c r="AS258" i="5"/>
  <c r="AT245" i="5"/>
  <c r="AS249" i="5"/>
  <c r="Q146" i="5"/>
  <c r="S91" i="5" s="1"/>
  <c r="AS238" i="5"/>
  <c r="AS251" i="5"/>
  <c r="AT243" i="5"/>
  <c r="AS237" i="5"/>
  <c r="AT246" i="5"/>
  <c r="AK93" i="5"/>
  <c r="AT233" i="5"/>
  <c r="AS262" i="5"/>
  <c r="O108" i="5"/>
  <c r="AS229" i="5"/>
  <c r="S259" i="5"/>
  <c r="AN262" i="5"/>
  <c r="AT254" i="5"/>
  <c r="O159" i="12"/>
  <c r="P159" i="12" s="1"/>
  <c r="S163" i="12"/>
  <c r="S10" i="1"/>
  <c r="AE12" i="1" s="1"/>
  <c r="P46" i="1"/>
  <c r="AS260" i="5"/>
  <c r="AO260" i="5"/>
  <c r="AT248" i="5"/>
  <c r="AO244" i="5"/>
  <c r="AS256" i="5"/>
  <c r="AN248" i="5"/>
  <c r="R259" i="5"/>
  <c r="AN255" i="5"/>
  <c r="AO235" i="5"/>
  <c r="AO247" i="5"/>
  <c r="AO251" i="5"/>
  <c r="P13" i="12"/>
  <c r="AT244" i="5"/>
  <c r="AS252" i="5"/>
  <c r="AT240" i="5"/>
  <c r="AN259" i="5"/>
  <c r="AO239" i="5"/>
  <c r="G97" i="5" l="1"/>
  <c r="J55" i="1"/>
  <c r="J53" i="5"/>
  <c r="L45" i="5"/>
  <c r="D42" i="5"/>
  <c r="U63" i="12"/>
  <c r="D43" i="1"/>
  <c r="U65" i="12"/>
  <c r="T53" i="1"/>
  <c r="D44" i="1" s="1"/>
  <c r="Q55" i="12"/>
  <c r="Q62" i="12"/>
  <c r="P20" i="12"/>
  <c r="L15" i="5"/>
  <c r="U122" i="5"/>
  <c r="O133" i="5"/>
  <c r="Q59" i="12"/>
  <c r="P72" i="5"/>
  <c r="Z74" i="5"/>
  <c r="Z78" i="5"/>
  <c r="Z75" i="5"/>
  <c r="Z76" i="5"/>
  <c r="Z77" i="5"/>
  <c r="Z79" i="5"/>
  <c r="R47" i="5"/>
  <c r="AF106" i="5"/>
  <c r="AJ120" i="5" s="1"/>
  <c r="P74" i="5"/>
  <c r="Q74" i="5" s="1"/>
  <c r="P78" i="5"/>
  <c r="S73" i="5"/>
  <c r="AJ73" i="5" s="1"/>
  <c r="P76" i="5"/>
  <c r="Q76" i="5" s="1"/>
  <c r="P79" i="5"/>
  <c r="P75" i="5"/>
  <c r="Q75" i="5" s="1"/>
  <c r="P73" i="5"/>
  <c r="P77" i="5"/>
  <c r="U21" i="12"/>
  <c r="M72" i="12"/>
  <c r="V17" i="9"/>
  <c r="Q22" i="9"/>
  <c r="S70" i="9" s="1"/>
  <c r="AB18" i="9"/>
  <c r="V17" i="11"/>
  <c r="AB18" i="11"/>
  <c r="AB17" i="11" s="1"/>
  <c r="O22" i="11"/>
  <c r="Q70" i="11" s="1"/>
  <c r="P32" i="1"/>
  <c r="S32" i="1" s="1"/>
  <c r="K21" i="1"/>
  <c r="P33" i="1"/>
  <c r="O139" i="1"/>
  <c r="Q267" i="5" s="1"/>
  <c r="O122" i="1"/>
  <c r="U250" i="5" s="1"/>
  <c r="N249" i="5" s="1"/>
  <c r="Q45" i="9"/>
  <c r="Q22" i="11"/>
  <c r="S70" i="11" s="1"/>
  <c r="O45" i="11"/>
  <c r="AH9" i="5"/>
  <c r="H99" i="5" s="1"/>
  <c r="P47" i="1"/>
  <c r="Q45" i="11"/>
  <c r="N135" i="1"/>
  <c r="Q18" i="9"/>
  <c r="Q77" i="9" s="1"/>
  <c r="O22" i="9"/>
  <c r="Q70" i="9" s="1"/>
  <c r="O18" i="11"/>
  <c r="O77" i="11" s="1"/>
  <c r="O18" i="9"/>
  <c r="O77" i="9" s="1"/>
  <c r="N134" i="1"/>
  <c r="P264" i="5" s="1"/>
  <c r="O45" i="9"/>
  <c r="Q18" i="11"/>
  <c r="AD239" i="5"/>
  <c r="AF221" i="5"/>
  <c r="AF165" i="5"/>
  <c r="AV165" i="5" s="1"/>
  <c r="L27" i="5"/>
  <c r="L32" i="5" s="1"/>
  <c r="K55" i="1"/>
  <c r="K29" i="1"/>
  <c r="D26" i="1"/>
  <c r="G16" i="1"/>
  <c r="K16" i="1"/>
  <c r="P17" i="12"/>
  <c r="P30" i="12" s="1"/>
  <c r="R39" i="12" s="1"/>
  <c r="X88" i="12" s="1"/>
  <c r="L53" i="5"/>
  <c r="AL202" i="5"/>
  <c r="V153" i="12"/>
  <c r="AH192" i="5"/>
  <c r="AJ221" i="5"/>
  <c r="AH80" i="5"/>
  <c r="AH191" i="5"/>
  <c r="AZ182" i="5"/>
  <c r="AV167" i="5"/>
  <c r="AL203" i="5"/>
  <c r="AL201" i="5"/>
  <c r="R235" i="5"/>
  <c r="AH190" i="5"/>
  <c r="AI206" i="5"/>
  <c r="AE210" i="5" s="1"/>
  <c r="AO92" i="5" s="1"/>
  <c r="AL204" i="5"/>
  <c r="AK73" i="5"/>
  <c r="Z73" i="5" s="1"/>
  <c r="H16" i="12"/>
  <c r="S12" i="12" s="1"/>
  <c r="AF168" i="5"/>
  <c r="U24" i="12"/>
  <c r="U27" i="12"/>
  <c r="U26" i="12"/>
  <c r="AZ181" i="5"/>
  <c r="AV166" i="5"/>
  <c r="U22" i="12"/>
  <c r="AV176" i="5"/>
  <c r="AV175" i="5"/>
  <c r="BB192" i="5"/>
  <c r="BC192" i="5" s="1"/>
  <c r="AK47" i="1"/>
  <c r="K41" i="1"/>
  <c r="O244" i="5"/>
  <c r="AP185" i="5"/>
  <c r="BB191" i="5"/>
  <c r="BC191" i="5" s="1"/>
  <c r="I80" i="5"/>
  <c r="AI80" i="5"/>
  <c r="R15" i="1"/>
  <c r="R16" i="1" s="1"/>
  <c r="AE13" i="1"/>
  <c r="K43" i="1" l="1"/>
  <c r="U67" i="12"/>
  <c r="K44" i="1"/>
  <c r="U25" i="12"/>
  <c r="J61" i="5"/>
  <c r="J64" i="5" s="1"/>
  <c r="L42" i="5"/>
  <c r="K47" i="1"/>
  <c r="K45" i="1"/>
  <c r="Q65" i="12"/>
  <c r="AJ189" i="5" s="1"/>
  <c r="AK185" i="5" s="1"/>
  <c r="AJ143" i="5"/>
  <c r="AS143" i="5" s="1"/>
  <c r="AJ139" i="5"/>
  <c r="AS139" i="5" s="1"/>
  <c r="AJ141" i="5"/>
  <c r="AS141" i="5" s="1"/>
  <c r="AJ145" i="5"/>
  <c r="AS145" i="5" s="1"/>
  <c r="AJ149" i="5"/>
  <c r="AS149" i="5" s="1"/>
  <c r="AJ134" i="5"/>
  <c r="AS134" i="5" s="1"/>
  <c r="AJ132" i="5"/>
  <c r="AS132" i="5" s="1"/>
  <c r="AJ150" i="5"/>
  <c r="AJ151" i="5"/>
  <c r="AS151" i="5" s="1"/>
  <c r="AJ118" i="5"/>
  <c r="AS118" i="5" s="1"/>
  <c r="AJ144" i="5"/>
  <c r="AS144" i="5" s="1"/>
  <c r="AJ153" i="5"/>
  <c r="AJ136" i="5"/>
  <c r="AS136" i="5" s="1"/>
  <c r="AJ140" i="5"/>
  <c r="AS140" i="5" s="1"/>
  <c r="AJ128" i="5"/>
  <c r="AF242" i="5" s="1"/>
  <c r="AJ119" i="5"/>
  <c r="AS119" i="5" s="1"/>
  <c r="AJ124" i="5"/>
  <c r="AS124" i="5" s="1"/>
  <c r="AJ146" i="5"/>
  <c r="AS146" i="5" s="1"/>
  <c r="AJ116" i="5"/>
  <c r="AS116" i="5" s="1"/>
  <c r="AJ133" i="5"/>
  <c r="AS133" i="5" s="1"/>
  <c r="AJ138" i="5"/>
  <c r="AS138" i="5" s="1"/>
  <c r="AJ123" i="5"/>
  <c r="AF237" i="5" s="1"/>
  <c r="AJ122" i="5"/>
  <c r="AF236" i="5" s="1"/>
  <c r="AJ135" i="5"/>
  <c r="AS135" i="5" s="1"/>
  <c r="AJ126" i="5"/>
  <c r="AS126" i="5" s="1"/>
  <c r="AJ125" i="5"/>
  <c r="AS125" i="5" s="1"/>
  <c r="AJ142" i="5"/>
  <c r="AS142" i="5" s="1"/>
  <c r="AJ148" i="5"/>
  <c r="AS148" i="5" s="1"/>
  <c r="AJ129" i="5"/>
  <c r="AF243" i="5" s="1"/>
  <c r="AJ117" i="5"/>
  <c r="AS117" i="5" s="1"/>
  <c r="AJ121" i="5"/>
  <c r="AS121" i="5" s="1"/>
  <c r="AJ131" i="5"/>
  <c r="AF245" i="5" s="1"/>
  <c r="AJ137" i="5"/>
  <c r="AS137" i="5" s="1"/>
  <c r="AJ152" i="5"/>
  <c r="AS152" i="5" s="1"/>
  <c r="AJ130" i="5"/>
  <c r="AF244" i="5" s="1"/>
  <c r="AJ114" i="5"/>
  <c r="AS114" i="5" s="1"/>
  <c r="AJ127" i="5"/>
  <c r="AF241" i="5" s="1"/>
  <c r="AJ115" i="5"/>
  <c r="AF229" i="5" s="1"/>
  <c r="AJ147" i="5"/>
  <c r="AS147" i="5" s="1"/>
  <c r="O74" i="5"/>
  <c r="AL74" i="5" s="1"/>
  <c r="J74" i="5" s="1"/>
  <c r="O79" i="5"/>
  <c r="Q79" i="5"/>
  <c r="O78" i="5"/>
  <c r="Q78" i="5"/>
  <c r="O77" i="5"/>
  <c r="Q77" i="5"/>
  <c r="O76" i="5"/>
  <c r="O75" i="5"/>
  <c r="O72" i="5"/>
  <c r="AL72" i="5" s="1"/>
  <c r="J72" i="5" s="1"/>
  <c r="Q72" i="5"/>
  <c r="O73" i="5"/>
  <c r="AL73" i="5" s="1"/>
  <c r="J73" i="5" s="1"/>
  <c r="Q73" i="5"/>
  <c r="K26" i="1"/>
  <c r="K33" i="1" s="1"/>
  <c r="G26" i="1"/>
  <c r="AB17" i="9"/>
  <c r="V36" i="9"/>
  <c r="X36" i="9" s="1"/>
  <c r="O36" i="9" s="1"/>
  <c r="V19" i="9"/>
  <c r="AB36" i="11"/>
  <c r="AD36" i="11" s="1"/>
  <c r="Q36" i="11" s="1"/>
  <c r="AB19" i="11"/>
  <c r="V36" i="11"/>
  <c r="X36" i="11" s="1"/>
  <c r="O36" i="11" s="1"/>
  <c r="V19" i="11"/>
  <c r="Q20" i="11"/>
  <c r="Q32" i="11" s="1"/>
  <c r="Q20" i="9"/>
  <c r="S66" i="9" s="1"/>
  <c r="AD15" i="1"/>
  <c r="AE15" i="1" s="1"/>
  <c r="AL185" i="5"/>
  <c r="O20" i="9"/>
  <c r="Q66" i="9" s="1"/>
  <c r="O20" i="11"/>
  <c r="O32" i="11" s="1"/>
  <c r="N133" i="1"/>
  <c r="N136" i="1" s="1"/>
  <c r="P265" i="5" s="1"/>
  <c r="N91" i="9"/>
  <c r="Q77" i="11"/>
  <c r="N91" i="11" s="1"/>
  <c r="AV168" i="5"/>
  <c r="AZ180" i="5"/>
  <c r="AS150" i="5"/>
  <c r="O79" i="9"/>
  <c r="O89" i="9" s="1"/>
  <c r="D57" i="5"/>
  <c r="Z80" i="5"/>
  <c r="U98" i="5" s="1"/>
  <c r="U20" i="12"/>
  <c r="AK80" i="5"/>
  <c r="U15" i="12"/>
  <c r="AJ80" i="5"/>
  <c r="AJ97" i="5" s="1"/>
  <c r="Q140" i="5"/>
  <c r="D51" i="5"/>
  <c r="L51" i="5" s="1"/>
  <c r="D56" i="5"/>
  <c r="L56" i="5" s="1"/>
  <c r="AZ183" i="5"/>
  <c r="L44" i="5"/>
  <c r="U58" i="12"/>
  <c r="AF234" i="5"/>
  <c r="AS120" i="5"/>
  <c r="D61" i="5" l="1"/>
  <c r="D64" i="5" s="1"/>
  <c r="F64" i="5" s="1"/>
  <c r="N103" i="12"/>
  <c r="O103" i="12" s="1"/>
  <c r="S90" i="12"/>
  <c r="S92" i="12" s="1"/>
  <c r="S98" i="12"/>
  <c r="AS129" i="5"/>
  <c r="AF240" i="5"/>
  <c r="AF238" i="5"/>
  <c r="AS127" i="5"/>
  <c r="AF230" i="5"/>
  <c r="Q32" i="9"/>
  <c r="AS122" i="5"/>
  <c r="P275" i="5"/>
  <c r="AT167" i="5"/>
  <c r="BJ167" i="5" s="1"/>
  <c r="AF248" i="5"/>
  <c r="AN185" i="5"/>
  <c r="AZ105" i="5"/>
  <c r="AF228" i="5"/>
  <c r="AT166" i="5"/>
  <c r="BJ166" i="5" s="1"/>
  <c r="AZ106" i="5"/>
  <c r="AT175" i="5"/>
  <c r="AZ103" i="5"/>
  <c r="AF233" i="5"/>
  <c r="AT168" i="5"/>
  <c r="BJ168" i="5" s="1"/>
  <c r="AF247" i="5"/>
  <c r="AS131" i="5"/>
  <c r="AT176" i="5"/>
  <c r="AS153" i="5"/>
  <c r="AZ102" i="5"/>
  <c r="AT165" i="5"/>
  <c r="BJ165" i="5" s="1"/>
  <c r="AF246" i="5"/>
  <c r="AS128" i="5"/>
  <c r="AR185" i="5" s="1"/>
  <c r="AF235" i="5"/>
  <c r="AS130" i="5"/>
  <c r="AF232" i="5"/>
  <c r="AF239" i="5"/>
  <c r="AS123" i="5"/>
  <c r="AF231" i="5"/>
  <c r="AS115" i="5"/>
  <c r="O98" i="5"/>
  <c r="O97" i="1" s="1"/>
  <c r="AL79" i="5"/>
  <c r="J79" i="5" s="1"/>
  <c r="AL78" i="5"/>
  <c r="J78" i="5" s="1"/>
  <c r="AL77" i="5"/>
  <c r="J77" i="5" s="1"/>
  <c r="AL76" i="5"/>
  <c r="J76" i="5" s="1"/>
  <c r="AL75" i="5"/>
  <c r="J75" i="5" s="1"/>
  <c r="N138" i="1"/>
  <c r="P266" i="5" s="1"/>
  <c r="V28" i="9"/>
  <c r="V29" i="9" s="1"/>
  <c r="AB36" i="9"/>
  <c r="AD36" i="9" s="1"/>
  <c r="Q36" i="9" s="1"/>
  <c r="AB19" i="9"/>
  <c r="AB28" i="11"/>
  <c r="AB29" i="11" s="1"/>
  <c r="AB35" i="11" s="1"/>
  <c r="AD35" i="11" s="1"/>
  <c r="Q35" i="11" s="1"/>
  <c r="V28" i="11"/>
  <c r="V29" i="11" s="1"/>
  <c r="V35" i="11" s="1"/>
  <c r="X35" i="11" s="1"/>
  <c r="O35" i="11" s="1"/>
  <c r="S66" i="11"/>
  <c r="Q31" i="11"/>
  <c r="Q42" i="11" s="1"/>
  <c r="O31" i="11"/>
  <c r="O42" i="11" s="1"/>
  <c r="H50" i="12"/>
  <c r="S55" i="12" s="1"/>
  <c r="D46" i="1"/>
  <c r="U66" i="12"/>
  <c r="U68" i="12"/>
  <c r="U62" i="12"/>
  <c r="O32" i="9"/>
  <c r="Q66" i="11"/>
  <c r="P263" i="5"/>
  <c r="O79" i="11"/>
  <c r="O89" i="11" s="1"/>
  <c r="AZ185" i="5"/>
  <c r="BO166" i="5"/>
  <c r="BO168" i="5"/>
  <c r="BO165" i="5"/>
  <c r="BO167" i="5"/>
  <c r="AQ228" i="5"/>
  <c r="AS228" i="5" s="1"/>
  <c r="AT228" i="5" s="1"/>
  <c r="AU228" i="5" s="1"/>
  <c r="BF175" i="5"/>
  <c r="BF176" i="5"/>
  <c r="BF168" i="5"/>
  <c r="AY175" i="5"/>
  <c r="A37" i="12"/>
  <c r="L57" i="5"/>
  <c r="L61" i="5" s="1"/>
  <c r="BM165" i="5" s="1"/>
  <c r="U28" i="12"/>
  <c r="U30" i="12" s="1"/>
  <c r="Q110" i="12" s="1"/>
  <c r="O110" i="12" s="1"/>
  <c r="BF166" i="5"/>
  <c r="BF167" i="5"/>
  <c r="BF165" i="5"/>
  <c r="AJ96" i="5"/>
  <c r="R98" i="5"/>
  <c r="R97" i="1" s="1"/>
  <c r="AY168" i="5"/>
  <c r="AY167" i="5"/>
  <c r="AY166" i="5"/>
  <c r="AY176" i="5" l="1"/>
  <c r="AY165" i="5"/>
  <c r="D59" i="1"/>
  <c r="K59" i="1" s="1"/>
  <c r="J63" i="1"/>
  <c r="J65" i="1" s="1"/>
  <c r="BM167" i="5"/>
  <c r="L64" i="5"/>
  <c r="Q86" i="5" s="1"/>
  <c r="O86" i="5" s="1"/>
  <c r="V33" i="11"/>
  <c r="X33" i="11" s="1"/>
  <c r="N139" i="1"/>
  <c r="R139" i="1" s="1"/>
  <c r="T267" i="5" s="1"/>
  <c r="AL80" i="5"/>
  <c r="J80" i="5" s="1"/>
  <c r="AB33" i="11"/>
  <c r="AB40" i="11" s="1"/>
  <c r="AD40" i="11" s="1"/>
  <c r="V33" i="9"/>
  <c r="X33" i="9" s="1"/>
  <c r="AB28" i="9"/>
  <c r="AB29" i="9" s="1"/>
  <c r="AB35" i="9" s="1"/>
  <c r="AD35" i="9" s="1"/>
  <c r="Q35" i="9" s="1"/>
  <c r="V40" i="11"/>
  <c r="U69" i="12"/>
  <c r="D58" i="1"/>
  <c r="K58" i="1" s="1"/>
  <c r="U57" i="12"/>
  <c r="D42" i="1"/>
  <c r="U64" i="12"/>
  <c r="D53" i="1"/>
  <c r="BM166" i="5"/>
  <c r="BM168" i="5"/>
  <c r="AU229" i="5"/>
  <c r="AU230" i="5" s="1"/>
  <c r="AU231" i="5" s="1"/>
  <c r="AU232" i="5" s="1"/>
  <c r="AU233" i="5" s="1"/>
  <c r="AU234" i="5" s="1"/>
  <c r="AU235" i="5" s="1"/>
  <c r="AU236" i="5" s="1"/>
  <c r="AU237" i="5" s="1"/>
  <c r="AU238" i="5" s="1"/>
  <c r="AU239" i="5" s="1"/>
  <c r="AU240" i="5" s="1"/>
  <c r="AU241" i="5" s="1"/>
  <c r="AU242" i="5" s="1"/>
  <c r="AU243" i="5" s="1"/>
  <c r="AU244" i="5" s="1"/>
  <c r="AU245" i="5" s="1"/>
  <c r="S106" i="5"/>
  <c r="X90" i="12"/>
  <c r="T132" i="12" s="1"/>
  <c r="BC167" i="5"/>
  <c r="BC176" i="5"/>
  <c r="BC168" i="5"/>
  <c r="BC165" i="5"/>
  <c r="BC175" i="5"/>
  <c r="BC166" i="5"/>
  <c r="K46" i="1"/>
  <c r="V34" i="11" l="1"/>
  <c r="X34" i="11" s="1"/>
  <c r="O34" i="11" s="1"/>
  <c r="O43" i="11" s="1"/>
  <c r="Q67" i="11" s="1"/>
  <c r="Q68" i="11" s="1"/>
  <c r="D63" i="1"/>
  <c r="D65" i="1" s="1"/>
  <c r="F65" i="1" s="1"/>
  <c r="V34" i="9"/>
  <c r="P267" i="5"/>
  <c r="V40" i="9"/>
  <c r="X40" i="9" s="1"/>
  <c r="AB33" i="9"/>
  <c r="AB34" i="9" s="1"/>
  <c r="AD34" i="9" s="1"/>
  <c r="Q34" i="9" s="1"/>
  <c r="Q43" i="9" s="1"/>
  <c r="O125" i="1"/>
  <c r="K142" i="1" s="1"/>
  <c r="M246" i="5" s="1"/>
  <c r="AB34" i="11"/>
  <c r="AD34" i="11" s="1"/>
  <c r="Q34" i="11" s="1"/>
  <c r="Q43" i="11" s="1"/>
  <c r="S67" i="11" s="1"/>
  <c r="S68" i="11" s="1"/>
  <c r="AD33" i="11"/>
  <c r="V42" i="11"/>
  <c r="X40" i="11"/>
  <c r="U70" i="12"/>
  <c r="U73" i="12" s="1"/>
  <c r="Q120" i="12" s="1"/>
  <c r="O120" i="12" s="1"/>
  <c r="K42" i="1"/>
  <c r="K53" i="1"/>
  <c r="AU246" i="5"/>
  <c r="AA150" i="12"/>
  <c r="N152" i="12"/>
  <c r="S110" i="5" s="1"/>
  <c r="T136" i="5" s="1"/>
  <c r="X37" i="11" l="1"/>
  <c r="V37" i="11"/>
  <c r="X34" i="9"/>
  <c r="V35" i="9"/>
  <c r="V42" i="9"/>
  <c r="X42" i="9" s="1"/>
  <c r="AB42" i="11"/>
  <c r="AD42" i="11" s="1"/>
  <c r="AB40" i="9"/>
  <c r="AD40" i="9" s="1"/>
  <c r="AD33" i="9"/>
  <c r="AD37" i="9" s="1"/>
  <c r="AB37" i="11"/>
  <c r="AU247" i="5"/>
  <c r="AU248" i="5" s="1"/>
  <c r="AU249" i="5" s="1"/>
  <c r="AU250" i="5" s="1"/>
  <c r="AU251" i="5" s="1"/>
  <c r="AU252" i="5" s="1"/>
  <c r="AU253" i="5" s="1"/>
  <c r="AU254" i="5" s="1"/>
  <c r="AU255" i="5" s="1"/>
  <c r="AU256" i="5" s="1"/>
  <c r="AU257" i="5" s="1"/>
  <c r="AU258" i="5" s="1"/>
  <c r="AU259" i="5" s="1"/>
  <c r="AU260" i="5" s="1"/>
  <c r="AU261" i="5" s="1"/>
  <c r="AU262" i="5" s="1"/>
  <c r="AU263" i="5" s="1"/>
  <c r="AU264" i="5" s="1"/>
  <c r="AU265" i="5" s="1"/>
  <c r="AU266" i="5" s="1"/>
  <c r="AU267" i="5" s="1"/>
  <c r="AR271" i="5"/>
  <c r="AD37" i="11"/>
  <c r="AB37" i="9"/>
  <c r="X42" i="11"/>
  <c r="V43" i="11"/>
  <c r="K65" i="1"/>
  <c r="Q73" i="1" s="1"/>
  <c r="O73" i="1" s="1"/>
  <c r="K63" i="1"/>
  <c r="AA154" i="12"/>
  <c r="AA152" i="12"/>
  <c r="T163" i="12" s="1"/>
  <c r="AA147" i="12" s="1"/>
  <c r="AA148" i="12" s="1"/>
  <c r="AB43" i="11" l="1"/>
  <c r="AD43" i="11" s="1"/>
  <c r="V43" i="9"/>
  <c r="X43" i="9" s="1"/>
  <c r="X35" i="9"/>
  <c r="O35" i="9" s="1"/>
  <c r="V37" i="9"/>
  <c r="O34" i="9"/>
  <c r="AB42" i="9"/>
  <c r="AD42" i="9" s="1"/>
  <c r="AT224" i="5"/>
  <c r="V44" i="9"/>
  <c r="X44" i="9" s="1"/>
  <c r="V44" i="11"/>
  <c r="X44" i="11" s="1"/>
  <c r="X43" i="11"/>
  <c r="AB44" i="11" l="1"/>
  <c r="AB45" i="11" s="1"/>
  <c r="AB43" i="9"/>
  <c r="AB44" i="9" s="1"/>
  <c r="AD44" i="9" s="1"/>
  <c r="X37" i="9"/>
  <c r="O43" i="9"/>
  <c r="V45" i="11"/>
  <c r="X45" i="11"/>
  <c r="O44" i="11" s="1"/>
  <c r="O46" i="11" s="1"/>
  <c r="O49" i="11" s="1"/>
  <c r="X45" i="9"/>
  <c r="O44" i="9" s="1"/>
  <c r="V45" i="9"/>
  <c r="AD44" i="11"/>
  <c r="AD45" i="11" s="1"/>
  <c r="Q44" i="11" s="1"/>
  <c r="AD43" i="9" l="1"/>
  <c r="AD45" i="9" s="1"/>
  <c r="Q44" i="9" s="1"/>
  <c r="Q71" i="11"/>
  <c r="Q72" i="11" s="1"/>
  <c r="Q74" i="11" s="1"/>
  <c r="AB45" i="9"/>
  <c r="Q71" i="9"/>
  <c r="Q72" i="9" s="1"/>
  <c r="S71" i="11"/>
  <c r="S72" i="11" s="1"/>
  <c r="S74" i="11" s="1"/>
  <c r="Q46" i="11"/>
  <c r="Q49" i="11" s="1"/>
  <c r="O51" i="11"/>
  <c r="D56" i="11" s="1"/>
  <c r="C10" i="1" s="1"/>
  <c r="D54" i="11"/>
  <c r="AK192" i="5" s="1"/>
  <c r="AN228" i="5"/>
  <c r="AO228" i="5" s="1"/>
  <c r="AP228" i="5" s="1"/>
  <c r="S71" i="9" l="1"/>
  <c r="S72" i="9" s="1"/>
  <c r="Q51" i="11"/>
  <c r="G56" i="11" s="1"/>
  <c r="C11" i="1" s="1"/>
  <c r="D12" i="1" s="1"/>
  <c r="G54" i="11"/>
  <c r="AK193" i="5" s="1"/>
  <c r="Q119" i="12"/>
  <c r="Q121" i="12" s="1"/>
  <c r="AO176" i="5"/>
  <c r="AQ176" i="5" s="1"/>
  <c r="AO175" i="5"/>
  <c r="AQ175" i="5" s="1"/>
  <c r="AO166" i="5"/>
  <c r="AQ166" i="5" s="1"/>
  <c r="AO167" i="5"/>
  <c r="AQ167" i="5" s="1"/>
  <c r="AW102" i="5"/>
  <c r="AO165" i="5"/>
  <c r="AQ165" i="5" s="1"/>
  <c r="AO168" i="5"/>
  <c r="AQ168" i="5" s="1"/>
  <c r="K10" i="1"/>
  <c r="AP229" i="5"/>
  <c r="AP230" i="5" s="1"/>
  <c r="AP231" i="5" s="1"/>
  <c r="AP232" i="5" s="1"/>
  <c r="AP233" i="5" s="1"/>
  <c r="AP234" i="5" s="1"/>
  <c r="AP235" i="5" s="1"/>
  <c r="AP236" i="5" s="1"/>
  <c r="AP237" i="5" s="1"/>
  <c r="AP238" i="5" s="1"/>
  <c r="AP239" i="5" s="1"/>
  <c r="AP240" i="5" s="1"/>
  <c r="AP241" i="5" s="1"/>
  <c r="AP242" i="5" s="1"/>
  <c r="AP243" i="5" s="1"/>
  <c r="AP244" i="5" s="1"/>
  <c r="AP245" i="5" s="1"/>
  <c r="O119" i="12" l="1"/>
  <c r="AP175" i="5"/>
  <c r="AR175" i="5" s="1"/>
  <c r="BD175" i="5" s="1"/>
  <c r="AP168" i="5"/>
  <c r="AR168" i="5" s="1"/>
  <c r="BD168" i="5" s="1"/>
  <c r="AP176" i="5"/>
  <c r="AR176" i="5" s="1"/>
  <c r="BD176" i="5" s="1"/>
  <c r="AP165" i="5"/>
  <c r="AR165" i="5" s="1"/>
  <c r="BD165" i="5" s="1"/>
  <c r="AP166" i="5"/>
  <c r="AR166" i="5" s="1"/>
  <c r="BD166" i="5" s="1"/>
  <c r="AP167" i="5"/>
  <c r="AR167" i="5" s="1"/>
  <c r="BD167" i="5" s="1"/>
  <c r="AW103" i="5"/>
  <c r="K11" i="1"/>
  <c r="Q122" i="12"/>
  <c r="Q123" i="12" s="1"/>
  <c r="Q127" i="12" s="1"/>
  <c r="O121" i="12"/>
  <c r="O122" i="12" s="1"/>
  <c r="O123" i="12" s="1"/>
  <c r="AP246" i="5"/>
  <c r="AP247" i="5" s="1"/>
  <c r="AP248" i="5" s="1"/>
  <c r="AP249" i="5" s="1"/>
  <c r="AP250" i="5" s="1"/>
  <c r="AP251" i="5" s="1"/>
  <c r="AP252" i="5" s="1"/>
  <c r="AP253" i="5" s="1"/>
  <c r="AP254" i="5" s="1"/>
  <c r="AP255" i="5" s="1"/>
  <c r="AP256" i="5" s="1"/>
  <c r="AP257" i="5" s="1"/>
  <c r="AP258" i="5" s="1"/>
  <c r="AP259" i="5" s="1"/>
  <c r="AP260" i="5" s="1"/>
  <c r="AP261" i="5" s="1"/>
  <c r="AP262" i="5" s="1"/>
  <c r="AP263" i="5" s="1"/>
  <c r="AP264" i="5" s="1"/>
  <c r="AP265" i="5" s="1"/>
  <c r="AP266" i="5" s="1"/>
  <c r="AP267" i="5" s="1"/>
  <c r="K19" i="1" l="1" a="1"/>
  <c r="K19" i="1" s="1"/>
  <c r="AN271" i="5"/>
  <c r="Q72" i="1"/>
  <c r="Q74" i="1" s="1"/>
  <c r="O127" i="12"/>
  <c r="AO224" i="5"/>
  <c r="O72" i="1" l="1"/>
  <c r="Q81" i="1"/>
  <c r="Q82" i="1" s="1"/>
  <c r="Q83" i="1" s="1"/>
  <c r="O74" i="1"/>
  <c r="R74" i="1" l="1"/>
  <c r="O81" i="1"/>
  <c r="O82" i="1" s="1"/>
  <c r="O83" i="1" s="1"/>
  <c r="O95" i="5" l="1"/>
  <c r="R95" i="5"/>
  <c r="U95" i="5"/>
  <c r="Q14" i="9" l="1"/>
  <c r="O31" i="9"/>
  <c r="O42" i="9" s="1"/>
  <c r="Q67" i="9" l="1"/>
  <c r="Q68" i="9" s="1"/>
  <c r="Q74" i="9" s="1"/>
  <c r="O46" i="9"/>
  <c r="O49" i="9" s="1"/>
  <c r="Q31" i="9"/>
  <c r="Q42" i="9" s="1"/>
  <c r="S67" i="9" l="1"/>
  <c r="S68" i="9" s="1"/>
  <c r="S74" i="9" s="1"/>
  <c r="Q46" i="9"/>
  <c r="Q49" i="9" s="1"/>
  <c r="Q109" i="12" s="1"/>
  <c r="O51" i="9"/>
  <c r="D56" i="9" s="1"/>
  <c r="C9" i="5" s="1"/>
  <c r="D54" i="9"/>
  <c r="AE112" i="5" s="1"/>
  <c r="AE114" i="5" s="1"/>
  <c r="L9" i="5" l="1"/>
  <c r="AG228" i="5"/>
  <c r="AE115" i="5"/>
  <c r="Q51" i="9"/>
  <c r="G56" i="9" s="1"/>
  <c r="C10" i="5" s="1"/>
  <c r="G54" i="9"/>
  <c r="AG112" i="5" s="1"/>
  <c r="AG114" i="5" s="1"/>
  <c r="AH114" i="5" s="1"/>
  <c r="O109" i="12"/>
  <c r="O111" i="12" s="1"/>
  <c r="Q111" i="12"/>
  <c r="AP114" i="5" l="1"/>
  <c r="AQ114" i="5" s="1"/>
  <c r="AL114" i="5"/>
  <c r="AM114" i="5" s="1"/>
  <c r="AT114" i="5"/>
  <c r="AU114" i="5" s="1"/>
  <c r="L10" i="5"/>
  <c r="D18" i="5"/>
  <c r="AG229" i="5"/>
  <c r="AE116" i="5"/>
  <c r="Q112" i="12"/>
  <c r="Q113" i="12" s="1"/>
  <c r="Q126" i="12" s="1"/>
  <c r="L111" i="12"/>
  <c r="L126" i="12"/>
  <c r="L112" i="12"/>
  <c r="O112" i="12"/>
  <c r="O113" i="12" s="1"/>
  <c r="L113" i="12" s="1"/>
  <c r="AH228" i="5"/>
  <c r="AI228" i="5" s="1"/>
  <c r="AJ228" i="5" s="1"/>
  <c r="AK228" i="5" s="1"/>
  <c r="AG115" i="5"/>
  <c r="D11" i="5"/>
  <c r="Q85" i="5" l="1"/>
  <c r="O85" i="5" s="1"/>
  <c r="O87" i="5" s="1"/>
  <c r="O126" i="12"/>
  <c r="Q128" i="12"/>
  <c r="O128" i="12" s="1"/>
  <c r="AH229" i="5"/>
  <c r="AI229" i="5" s="1"/>
  <c r="AJ229" i="5" s="1"/>
  <c r="AK229" i="5" s="1"/>
  <c r="AG116" i="5"/>
  <c r="AH116" i="5" s="1"/>
  <c r="AH115" i="5"/>
  <c r="AG230" i="5"/>
  <c r="AE117" i="5"/>
  <c r="Q87" i="5" l="1"/>
  <c r="Q88" i="5" s="1"/>
  <c r="Q89" i="5" s="1"/>
  <c r="AP116" i="5"/>
  <c r="AQ116" i="5" s="1"/>
  <c r="AT116" i="5"/>
  <c r="AU116" i="5" s="1"/>
  <c r="AL116" i="5"/>
  <c r="O136" i="12"/>
  <c r="O139" i="12" s="1"/>
  <c r="N147" i="12" s="1"/>
  <c r="O147" i="12" s="1"/>
  <c r="O132" i="12"/>
  <c r="V154" i="12"/>
  <c r="U147" i="12"/>
  <c r="U136" i="12"/>
  <c r="AB148" i="12"/>
  <c r="AH230" i="5"/>
  <c r="AI230" i="5" s="1"/>
  <c r="AJ230" i="5" s="1"/>
  <c r="AK230" i="5" s="1"/>
  <c r="AG117" i="5"/>
  <c r="AH117" i="5" s="1"/>
  <c r="AL115" i="5"/>
  <c r="AM115" i="5" s="1"/>
  <c r="AT115" i="5"/>
  <c r="AU115" i="5" s="1"/>
  <c r="AP115" i="5"/>
  <c r="AQ115" i="5" s="1"/>
  <c r="AG231" i="5"/>
  <c r="AE118" i="5"/>
  <c r="O88" i="5"/>
  <c r="O89" i="5" s="1"/>
  <c r="L88" i="5"/>
  <c r="L87" i="5"/>
  <c r="AM116" i="5" l="1"/>
  <c r="AL117" i="5"/>
  <c r="AP117" i="5"/>
  <c r="AQ117" i="5" s="1"/>
  <c r="AT117" i="5"/>
  <c r="AU117" i="5" s="1"/>
  <c r="U139" i="12"/>
  <c r="AH231" i="5"/>
  <c r="AG118" i="5"/>
  <c r="U148" i="12"/>
  <c r="U151" i="12"/>
  <c r="U153" i="12" s="1"/>
  <c r="U155" i="12" s="1"/>
  <c r="N149" i="12" s="1"/>
  <c r="O149" i="12" s="1"/>
  <c r="O154" i="12"/>
  <c r="L190" i="12"/>
  <c r="R94" i="5"/>
  <c r="O94" i="5"/>
  <c r="L89" i="5"/>
  <c r="U94" i="5"/>
  <c r="U96" i="5" s="1"/>
  <c r="U99" i="5" s="1"/>
  <c r="V99" i="5" s="1"/>
  <c r="AG232" i="5"/>
  <c r="AE119" i="5"/>
  <c r="AI231" i="5"/>
  <c r="AJ231" i="5" s="1"/>
  <c r="AK231" i="5" s="1"/>
  <c r="AM117" i="5" l="1"/>
  <c r="AG233" i="5"/>
  <c r="AE120" i="5"/>
  <c r="AA160" i="12"/>
  <c r="L192" i="12"/>
  <c r="O96" i="5"/>
  <c r="O128" i="5" s="1"/>
  <c r="L94" i="5"/>
  <c r="AH232" i="5"/>
  <c r="AI232" i="5" s="1"/>
  <c r="AJ232" i="5" s="1"/>
  <c r="AK232" i="5" s="1"/>
  <c r="AG119" i="5"/>
  <c r="AH118" i="5"/>
  <c r="R96" i="5"/>
  <c r="O105" i="5" s="1"/>
  <c r="O110" i="5" s="1"/>
  <c r="U257" i="5"/>
  <c r="V139" i="12"/>
  <c r="W139" i="12" s="1"/>
  <c r="N148" i="12"/>
  <c r="O148" i="12" s="1"/>
  <c r="O106" i="5" l="1"/>
  <c r="R99" i="5"/>
  <c r="AL118" i="5"/>
  <c r="AM118" i="5" s="1"/>
  <c r="AT118" i="5"/>
  <c r="AU118" i="5" s="1"/>
  <c r="AP118" i="5"/>
  <c r="AQ118" i="5" s="1"/>
  <c r="O99" i="5"/>
  <c r="O134" i="5"/>
  <c r="O138" i="5" s="1"/>
  <c r="O141" i="5" s="1"/>
  <c r="O120" i="5"/>
  <c r="Q141" i="5"/>
  <c r="U120" i="5"/>
  <c r="U124" i="5" s="1"/>
  <c r="AG234" i="5"/>
  <c r="AE121" i="5"/>
  <c r="AH233" i="5"/>
  <c r="AI233" i="5" s="1"/>
  <c r="AJ233" i="5" s="1"/>
  <c r="AK233" i="5" s="1"/>
  <c r="AG120" i="5"/>
  <c r="AH119" i="5"/>
  <c r="U258" i="5"/>
  <c r="O124" i="5" l="1"/>
  <c r="T132" i="5" s="1"/>
  <c r="R146" i="5"/>
  <c r="AH234" i="5"/>
  <c r="AI234" i="5" s="1"/>
  <c r="AJ234" i="5" s="1"/>
  <c r="AK234" i="5" s="1"/>
  <c r="AG121" i="5"/>
  <c r="AH120" i="5"/>
  <c r="O135" i="5"/>
  <c r="O140" i="5"/>
  <c r="U259" i="5"/>
  <c r="AI91" i="5" s="1"/>
  <c r="U121" i="5"/>
  <c r="P99" i="5"/>
  <c r="P98" i="1" s="1"/>
  <c r="O98" i="1"/>
  <c r="AP119" i="5"/>
  <c r="AQ119" i="5" s="1"/>
  <c r="AT119" i="5"/>
  <c r="AU119" i="5" s="1"/>
  <c r="AL119" i="5"/>
  <c r="AM119" i="5" s="1"/>
  <c r="P277" i="5"/>
  <c r="P279" i="5" s="1"/>
  <c r="AG235" i="5"/>
  <c r="AE122" i="5"/>
  <c r="R98" i="1"/>
  <c r="S99" i="5"/>
  <c r="S98" i="1" s="1"/>
  <c r="O121" i="5"/>
  <c r="S112" i="5"/>
  <c r="S113" i="5" s="1"/>
  <c r="S97" i="12"/>
  <c r="S99" i="12" s="1"/>
  <c r="T257" i="5" l="1"/>
  <c r="AT120" i="5"/>
  <c r="AU120" i="5" s="1"/>
  <c r="AL120" i="5"/>
  <c r="AM120" i="5" s="1"/>
  <c r="AP120" i="5"/>
  <c r="AQ120" i="5" s="1"/>
  <c r="U132" i="5"/>
  <c r="O126" i="5"/>
  <c r="AH235" i="5"/>
  <c r="AI235" i="5" s="1"/>
  <c r="AJ235" i="5" s="1"/>
  <c r="AK235" i="5" s="1"/>
  <c r="AG122" i="5"/>
  <c r="AH121" i="5"/>
  <c r="T134" i="5"/>
  <c r="U134" i="5" s="1"/>
  <c r="W134" i="5" s="1"/>
  <c r="O143" i="5"/>
  <c r="T91" i="5"/>
  <c r="S146" i="5"/>
  <c r="U91" i="5" s="1"/>
  <c r="AG236" i="5"/>
  <c r="AE123" i="5"/>
  <c r="U126" i="5"/>
  <c r="T128" i="5"/>
  <c r="U128" i="5" s="1"/>
  <c r="T133" i="5"/>
  <c r="U133" i="5" s="1"/>
  <c r="W133" i="5" s="1"/>
  <c r="AI92" i="5"/>
  <c r="T258" i="5" s="1"/>
  <c r="T259" i="5" l="1"/>
  <c r="AI93" i="5"/>
  <c r="AT121" i="5"/>
  <c r="AU121" i="5" s="1"/>
  <c r="AL121" i="5"/>
  <c r="AM121" i="5" s="1"/>
  <c r="AP121" i="5"/>
  <c r="AQ121" i="5" s="1"/>
  <c r="W132" i="5"/>
  <c r="U139" i="5"/>
  <c r="D83" i="5" s="1"/>
  <c r="AH236" i="5"/>
  <c r="AI236" i="5" s="1"/>
  <c r="AJ236" i="5" s="1"/>
  <c r="AK236" i="5" s="1"/>
  <c r="AG123" i="5"/>
  <c r="AH123" i="5" s="1"/>
  <c r="N142" i="1"/>
  <c r="Q143" i="1"/>
  <c r="AG237" i="5"/>
  <c r="AE124" i="5"/>
  <c r="AH122" i="5"/>
  <c r="A81" i="5" l="1"/>
  <c r="E83" i="5"/>
  <c r="R82" i="5"/>
  <c r="AP123" i="5"/>
  <c r="AQ123" i="5" s="1"/>
  <c r="AT123" i="5"/>
  <c r="AU123" i="5" s="1"/>
  <c r="AL123" i="5"/>
  <c r="AG124" i="5"/>
  <c r="AH237" i="5"/>
  <c r="AI237" i="5" s="1"/>
  <c r="AJ237" i="5" s="1"/>
  <c r="AK237" i="5" s="1"/>
  <c r="AT122" i="5"/>
  <c r="AU122" i="5" s="1"/>
  <c r="AP122" i="5"/>
  <c r="AQ122" i="5" s="1"/>
  <c r="AL122" i="5"/>
  <c r="AM122" i="5" s="1"/>
  <c r="M33" i="1"/>
  <c r="S33" i="1" s="1"/>
  <c r="R143" i="1" s="1"/>
  <c r="U246" i="5" s="1"/>
  <c r="T246" i="5"/>
  <c r="AG238" i="5"/>
  <c r="AE125" i="5"/>
  <c r="N143" i="1"/>
  <c r="P247" i="5" s="1"/>
  <c r="P246" i="5"/>
  <c r="M66" i="5"/>
  <c r="U142" i="5"/>
  <c r="AM123" i="5" l="1"/>
  <c r="AH238" i="5"/>
  <c r="AI238" i="5" s="1"/>
  <c r="AJ238" i="5" s="1"/>
  <c r="AK238" i="5" s="1"/>
  <c r="AG125" i="5"/>
  <c r="AH125" i="5" s="1"/>
  <c r="AG239" i="5"/>
  <c r="AE126" i="5"/>
  <c r="AH124" i="5"/>
  <c r="AP125" i="5" l="1"/>
  <c r="AQ125" i="5" s="1"/>
  <c r="AT125" i="5"/>
  <c r="AU125" i="5" s="1"/>
  <c r="AL125" i="5"/>
  <c r="AP124" i="5"/>
  <c r="AQ124" i="5" s="1"/>
  <c r="AL124" i="5"/>
  <c r="AM124" i="5" s="1"/>
  <c r="AT124" i="5"/>
  <c r="AU124" i="5" s="1"/>
  <c r="AH239" i="5"/>
  <c r="AI239" i="5" s="1"/>
  <c r="AJ239" i="5" s="1"/>
  <c r="AK239" i="5" s="1"/>
  <c r="AG126" i="5"/>
  <c r="AH126" i="5" s="1"/>
  <c r="AG240" i="5"/>
  <c r="AE127" i="5"/>
  <c r="AM125" i="5" l="1"/>
  <c r="AG241" i="5"/>
  <c r="AE128" i="5"/>
  <c r="AT126" i="5"/>
  <c r="AU126" i="5" s="1"/>
  <c r="AL126" i="5"/>
  <c r="AP126" i="5"/>
  <c r="AQ126" i="5" s="1"/>
  <c r="AH240" i="5"/>
  <c r="AI240" i="5" s="1"/>
  <c r="AJ240" i="5" s="1"/>
  <c r="AK240" i="5" s="1"/>
  <c r="AG127" i="5"/>
  <c r="AM126" i="5" l="1"/>
  <c r="AG242" i="5"/>
  <c r="AE129" i="5"/>
  <c r="AH241" i="5"/>
  <c r="AI241" i="5" s="1"/>
  <c r="AJ241" i="5" s="1"/>
  <c r="AK241" i="5" s="1"/>
  <c r="AG128" i="5"/>
  <c r="AH127" i="5"/>
  <c r="AL127" i="5" l="1"/>
  <c r="AM127" i="5" s="1"/>
  <c r="AP127" i="5"/>
  <c r="AQ127" i="5" s="1"/>
  <c r="AT127" i="5"/>
  <c r="AU127" i="5" s="1"/>
  <c r="AG243" i="5"/>
  <c r="AE130" i="5"/>
  <c r="AH242" i="5"/>
  <c r="AI242" i="5" s="1"/>
  <c r="AJ242" i="5" s="1"/>
  <c r="AK242" i="5" s="1"/>
  <c r="AG129" i="5"/>
  <c r="AH128" i="5"/>
  <c r="AH243" i="5" l="1"/>
  <c r="AI243" i="5" s="1"/>
  <c r="AJ243" i="5" s="1"/>
  <c r="AK243" i="5" s="1"/>
  <c r="AG130" i="5"/>
  <c r="AH130" i="5" s="1"/>
  <c r="AT128" i="5"/>
  <c r="AU128" i="5" s="1"/>
  <c r="AP128" i="5"/>
  <c r="AQ128" i="5" s="1"/>
  <c r="AL128" i="5"/>
  <c r="AM128" i="5" s="1"/>
  <c r="AG244" i="5"/>
  <c r="AE131" i="5"/>
  <c r="AH129" i="5"/>
  <c r="AL130" i="5" l="1"/>
  <c r="AT130" i="5"/>
  <c r="AU130" i="5" s="1"/>
  <c r="AP130" i="5"/>
  <c r="AQ130" i="5" s="1"/>
  <c r="AL129" i="5"/>
  <c r="AM129" i="5" s="1"/>
  <c r="AT129" i="5"/>
  <c r="AU129" i="5" s="1"/>
  <c r="AP129" i="5"/>
  <c r="AQ129" i="5" s="1"/>
  <c r="AG131" i="5"/>
  <c r="AH244" i="5"/>
  <c r="AI244" i="5" s="1"/>
  <c r="AJ244" i="5" s="1"/>
  <c r="AK244" i="5" s="1"/>
  <c r="AG245" i="5"/>
  <c r="AE132" i="5"/>
  <c r="AM130" i="5" l="1"/>
  <c r="AG246" i="5"/>
  <c r="AE133" i="5"/>
  <c r="AH245" i="5"/>
  <c r="AI245" i="5" s="1"/>
  <c r="AJ245" i="5" s="1"/>
  <c r="AK245" i="5" s="1"/>
  <c r="AG132" i="5"/>
  <c r="AH132" i="5" s="1"/>
  <c r="AH131" i="5"/>
  <c r="AG247" i="5" l="1"/>
  <c r="AE134" i="5"/>
  <c r="AL131" i="5"/>
  <c r="AM131" i="5" s="1"/>
  <c r="AP131" i="5"/>
  <c r="AQ131" i="5" s="1"/>
  <c r="AT131" i="5"/>
  <c r="AU131" i="5" s="1"/>
  <c r="AT132" i="5"/>
  <c r="AU132" i="5" s="1"/>
  <c r="AP132" i="5"/>
  <c r="AQ132" i="5" s="1"/>
  <c r="AL132" i="5"/>
  <c r="AH246" i="5"/>
  <c r="AI246" i="5" s="1"/>
  <c r="AJ246" i="5" s="1"/>
  <c r="AK246" i="5" s="1"/>
  <c r="AG133" i="5"/>
  <c r="AM132" i="5" l="1"/>
  <c r="AH247" i="5"/>
  <c r="AI247" i="5" s="1"/>
  <c r="AJ247" i="5" s="1"/>
  <c r="AK247" i="5" s="1"/>
  <c r="AG134" i="5"/>
  <c r="AH134" i="5" s="1"/>
  <c r="AG248" i="5"/>
  <c r="AE135" i="5"/>
  <c r="AH133" i="5"/>
  <c r="AL134" i="5" l="1"/>
  <c r="AT134" i="5"/>
  <c r="AU134" i="5" s="1"/>
  <c r="AP134" i="5"/>
  <c r="AQ134" i="5" s="1"/>
  <c r="AL133" i="5"/>
  <c r="AM133" i="5" s="1"/>
  <c r="AT133" i="5"/>
  <c r="AU133" i="5" s="1"/>
  <c r="AP133" i="5"/>
  <c r="AQ133" i="5" s="1"/>
  <c r="AH248" i="5"/>
  <c r="AI248" i="5" s="1"/>
  <c r="AJ248" i="5" s="1"/>
  <c r="AK248" i="5" s="1"/>
  <c r="AG135" i="5"/>
  <c r="AH135" i="5" s="1"/>
  <c r="AG249" i="5"/>
  <c r="AE136" i="5"/>
  <c r="AM134" i="5" l="1"/>
  <c r="AE137" i="5"/>
  <c r="AG250" i="5"/>
  <c r="AL135" i="5"/>
  <c r="AP135" i="5"/>
  <c r="AQ135" i="5" s="1"/>
  <c r="AT135" i="5"/>
  <c r="AU135" i="5" s="1"/>
  <c r="AH249" i="5"/>
  <c r="AI249" i="5" s="1"/>
  <c r="AG136" i="5"/>
  <c r="AM135" i="5" l="1"/>
  <c r="AE138" i="5"/>
  <c r="AG251" i="5"/>
  <c r="AH250" i="5"/>
  <c r="AI250" i="5" s="1"/>
  <c r="AG137" i="5"/>
  <c r="AH136" i="5"/>
  <c r="AP136" i="5" l="1"/>
  <c r="AQ136" i="5" s="1"/>
  <c r="AL136" i="5"/>
  <c r="AM136" i="5" s="1"/>
  <c r="AT136" i="5"/>
  <c r="AU136" i="5" s="1"/>
  <c r="AG252" i="5"/>
  <c r="AE139" i="5"/>
  <c r="AH251" i="5"/>
  <c r="AI251" i="5" s="1"/>
  <c r="AG138" i="5"/>
  <c r="AH137" i="5"/>
  <c r="AG253" i="5" l="1"/>
  <c r="AE140" i="5"/>
  <c r="AL137" i="5"/>
  <c r="AM137" i="5" s="1"/>
  <c r="AT137" i="5"/>
  <c r="AU137" i="5" s="1"/>
  <c r="AP137" i="5"/>
  <c r="AQ137" i="5" s="1"/>
  <c r="AH252" i="5"/>
  <c r="AI252" i="5" s="1"/>
  <c r="AG139" i="5"/>
  <c r="AH139" i="5" s="1"/>
  <c r="AH138" i="5"/>
  <c r="AP139" i="5" l="1"/>
  <c r="AQ139" i="5" s="1"/>
  <c r="AL139" i="5"/>
  <c r="AT139" i="5"/>
  <c r="AU139" i="5" s="1"/>
  <c r="AG254" i="5"/>
  <c r="AE141" i="5"/>
  <c r="AT138" i="5"/>
  <c r="AU138" i="5" s="1"/>
  <c r="AL138" i="5"/>
  <c r="AM138" i="5" s="1"/>
  <c r="AP138" i="5"/>
  <c r="AQ138" i="5" s="1"/>
  <c r="AH253" i="5"/>
  <c r="AI253" i="5" s="1"/>
  <c r="AG140" i="5"/>
  <c r="AM139" i="5" l="1"/>
  <c r="AH254" i="5"/>
  <c r="AI254" i="5" s="1"/>
  <c r="AG141" i="5"/>
  <c r="AH141" i="5" s="1"/>
  <c r="AH140" i="5"/>
  <c r="AG255" i="5"/>
  <c r="AE142" i="5"/>
  <c r="AG256" i="5" l="1"/>
  <c r="AE143" i="5"/>
  <c r="AP140" i="5"/>
  <c r="AQ140" i="5" s="1"/>
  <c r="AL140" i="5"/>
  <c r="AM140" i="5" s="1"/>
  <c r="AT140" i="5"/>
  <c r="AU140" i="5" s="1"/>
  <c r="AP141" i="5"/>
  <c r="AQ141" i="5" s="1"/>
  <c r="AL141" i="5"/>
  <c r="AT141" i="5"/>
  <c r="AU141" i="5" s="1"/>
  <c r="AH255" i="5"/>
  <c r="AI255" i="5" s="1"/>
  <c r="AG142" i="5"/>
  <c r="AM141" i="5" l="1"/>
  <c r="AH256" i="5"/>
  <c r="AI256" i="5" s="1"/>
  <c r="AG143" i="5"/>
  <c r="AH143" i="5" s="1"/>
  <c r="AG257" i="5"/>
  <c r="AE144" i="5"/>
  <c r="AH142" i="5"/>
  <c r="AP143" i="5" l="1"/>
  <c r="AQ143" i="5" s="1"/>
  <c r="AT143" i="5"/>
  <c r="AU143" i="5" s="1"/>
  <c r="AL143" i="5"/>
  <c r="AT142" i="5"/>
  <c r="AU142" i="5" s="1"/>
  <c r="AL142" i="5"/>
  <c r="AM142" i="5" s="1"/>
  <c r="AP142" i="5"/>
  <c r="AQ142" i="5" s="1"/>
  <c r="AH257" i="5"/>
  <c r="AI257" i="5" s="1"/>
  <c r="AG144" i="5"/>
  <c r="AH144" i="5" s="1"/>
  <c r="AE145" i="5"/>
  <c r="AG258" i="5"/>
  <c r="AM143" i="5" l="1"/>
  <c r="AG259" i="5"/>
  <c r="AE146" i="5"/>
  <c r="AP144" i="5"/>
  <c r="AQ144" i="5" s="1"/>
  <c r="AL144" i="5"/>
  <c r="AT144" i="5"/>
  <c r="AU144" i="5" s="1"/>
  <c r="AH258" i="5"/>
  <c r="AI258" i="5" s="1"/>
  <c r="AG145" i="5"/>
  <c r="AH145" i="5" s="1"/>
  <c r="AM144" i="5" l="1"/>
  <c r="AG260" i="5"/>
  <c r="AE147" i="5"/>
  <c r="AT145" i="5"/>
  <c r="AU145" i="5" s="1"/>
  <c r="AP145" i="5"/>
  <c r="AQ145" i="5" s="1"/>
  <c r="AL145" i="5"/>
  <c r="AH259" i="5"/>
  <c r="AI259" i="5" s="1"/>
  <c r="AG146" i="5"/>
  <c r="AM145" i="5" l="1"/>
  <c r="AG261" i="5"/>
  <c r="AE148" i="5"/>
  <c r="AG147" i="5"/>
  <c r="AH147" i="5" s="1"/>
  <c r="AH260" i="5"/>
  <c r="AI260" i="5" s="1"/>
  <c r="AH146" i="5"/>
  <c r="AI175" i="5" l="1"/>
  <c r="AK175" i="5" s="1"/>
  <c r="AI167" i="5"/>
  <c r="AL146" i="5"/>
  <c r="AM146" i="5" s="1"/>
  <c r="AP146" i="5"/>
  <c r="AQ146" i="5" s="1"/>
  <c r="AT146" i="5"/>
  <c r="AU146" i="5" s="1"/>
  <c r="AH185" i="5"/>
  <c r="AI185" i="5" s="1"/>
  <c r="AM185" i="5" s="1"/>
  <c r="AG262" i="5"/>
  <c r="AE149" i="5"/>
  <c r="AT147" i="5"/>
  <c r="AU147" i="5" s="1"/>
  <c r="AL147" i="5"/>
  <c r="AP147" i="5"/>
  <c r="AQ147" i="5" s="1"/>
  <c r="AH261" i="5"/>
  <c r="AI261" i="5" s="1"/>
  <c r="AG148" i="5"/>
  <c r="AS185" i="5" l="1"/>
  <c r="AQ185" i="5"/>
  <c r="AO185" i="5"/>
  <c r="AJ175" i="5"/>
  <c r="AL175" i="5" s="1"/>
  <c r="AS175" i="5" s="1"/>
  <c r="AJ168" i="5"/>
  <c r="AL168" i="5" s="1"/>
  <c r="AJ166" i="5"/>
  <c r="AL166" i="5" s="1"/>
  <c r="AJ165" i="5"/>
  <c r="AL165" i="5" s="1"/>
  <c r="AR106" i="5"/>
  <c r="AW106" i="5" s="1"/>
  <c r="BA106" i="5" s="1"/>
  <c r="AJ167" i="5"/>
  <c r="AL167" i="5" s="1"/>
  <c r="AJ176" i="5"/>
  <c r="AL176" i="5" s="1"/>
  <c r="AK167" i="5"/>
  <c r="AM147" i="5"/>
  <c r="AH262" i="5"/>
  <c r="AI262" i="5" s="1"/>
  <c r="AG149" i="5"/>
  <c r="AH149" i="5" s="1"/>
  <c r="AE150" i="5"/>
  <c r="AG263" i="5"/>
  <c r="AH148" i="5"/>
  <c r="AS167" i="5" l="1"/>
  <c r="BI167" i="5"/>
  <c r="AU175" i="5"/>
  <c r="AZ175" i="5"/>
  <c r="BB175" i="5"/>
  <c r="BE175" i="5" s="1"/>
  <c r="BG175" i="5" s="1"/>
  <c r="AW175" i="5"/>
  <c r="AL149" i="5"/>
  <c r="AP149" i="5"/>
  <c r="AQ149" i="5" s="1"/>
  <c r="AT149" i="5"/>
  <c r="AU149" i="5" s="1"/>
  <c r="AG264" i="5"/>
  <c r="AE151" i="5"/>
  <c r="AL148" i="5"/>
  <c r="AM148" i="5" s="1"/>
  <c r="AT148" i="5"/>
  <c r="AU148" i="5" s="1"/>
  <c r="AP148" i="5"/>
  <c r="AQ148" i="5" s="1"/>
  <c r="AH263" i="5"/>
  <c r="AI263" i="5" s="1"/>
  <c r="AG150" i="5"/>
  <c r="AH150" i="5" s="1"/>
  <c r="BL167" i="5" l="1"/>
  <c r="BN167" i="5" s="1"/>
  <c r="BP167" i="5" s="1"/>
  <c r="BK167" i="5"/>
  <c r="BH175" i="5"/>
  <c r="BD191" i="5" s="1"/>
  <c r="AZ191" i="5"/>
  <c r="BA191" i="5" s="1"/>
  <c r="BB167" i="5"/>
  <c r="BE167" i="5" s="1"/>
  <c r="BG167" i="5" s="1"/>
  <c r="AW167" i="5"/>
  <c r="AZ167" i="5"/>
  <c r="AU167" i="5"/>
  <c r="AM149" i="5"/>
  <c r="AP150" i="5"/>
  <c r="AQ150" i="5" s="1"/>
  <c r="AL150" i="5"/>
  <c r="AT150" i="5"/>
  <c r="AU150" i="5" s="1"/>
  <c r="AG265" i="5"/>
  <c r="AE152" i="5"/>
  <c r="AH264" i="5"/>
  <c r="AI264" i="5" s="1"/>
  <c r="AG151" i="5"/>
  <c r="BH167" i="5" l="1"/>
  <c r="BB182" i="5"/>
  <c r="BC182" i="5" s="1"/>
  <c r="BQ167" i="5"/>
  <c r="AM150" i="5"/>
  <c r="AE153" i="5"/>
  <c r="AG266" i="5"/>
  <c r="AH265" i="5"/>
  <c r="AI265" i="5" s="1"/>
  <c r="AG152" i="5"/>
  <c r="AH152" i="5" s="1"/>
  <c r="AH151" i="5"/>
  <c r="AR105" i="5" l="1"/>
  <c r="AW105" i="5" s="1"/>
  <c r="BA105" i="5" s="1"/>
  <c r="AI176" i="5"/>
  <c r="AI168" i="5"/>
  <c r="AK168" i="5" s="1"/>
  <c r="AI165" i="5"/>
  <c r="AK165" i="5" s="1"/>
  <c r="AI166" i="5"/>
  <c r="AK166" i="5" s="1"/>
  <c r="BD182" i="5"/>
  <c r="BA182" i="5"/>
  <c r="AT152" i="5"/>
  <c r="AU152" i="5" s="1"/>
  <c r="AL152" i="5"/>
  <c r="AP152" i="5"/>
  <c r="AQ152" i="5" s="1"/>
  <c r="AP151" i="5"/>
  <c r="AQ151" i="5" s="1"/>
  <c r="AT151" i="5"/>
  <c r="AU151" i="5" s="1"/>
  <c r="AL151" i="5"/>
  <c r="AM151" i="5" s="1"/>
  <c r="AG267" i="5"/>
  <c r="AG153" i="5"/>
  <c r="AH267" i="5" s="1"/>
  <c r="AH266" i="5"/>
  <c r="AI266" i="5" s="1"/>
  <c r="AK176" i="5" l="1"/>
  <c r="AS176" i="5" s="1"/>
  <c r="AW176" i="5" s="1"/>
  <c r="AJ159" i="5"/>
  <c r="AL159" i="5" s="1"/>
  <c r="BI166" i="5"/>
  <c r="AS166" i="5"/>
  <c r="AS165" i="5"/>
  <c r="BI165" i="5"/>
  <c r="AS168" i="5"/>
  <c r="BI168" i="5"/>
  <c r="AF261" i="5"/>
  <c r="AJ261" i="5" s="1"/>
  <c r="AF265" i="5"/>
  <c r="AJ265" i="5" s="1"/>
  <c r="AF267" i="5"/>
  <c r="AF262" i="5"/>
  <c r="AJ262" i="5" s="1"/>
  <c r="AD231" i="5" s="1"/>
  <c r="AF266" i="5"/>
  <c r="AJ266" i="5" s="1"/>
  <c r="AF251" i="5"/>
  <c r="AJ251" i="5" s="1"/>
  <c r="AF264" i="5"/>
  <c r="AJ264" i="5" s="1"/>
  <c r="AF255" i="5"/>
  <c r="AJ255" i="5" s="1"/>
  <c r="AF250" i="5"/>
  <c r="AJ250" i="5" s="1"/>
  <c r="AF259" i="5"/>
  <c r="AJ259" i="5" s="1"/>
  <c r="AF254" i="5"/>
  <c r="AJ254" i="5" s="1"/>
  <c r="AF249" i="5"/>
  <c r="AJ249" i="5" s="1"/>
  <c r="AK249" i="5" s="1"/>
  <c r="AF253" i="5"/>
  <c r="AJ253" i="5" s="1"/>
  <c r="AF260" i="5"/>
  <c r="AJ260" i="5" s="1"/>
  <c r="AF257" i="5"/>
  <c r="AJ257" i="5" s="1"/>
  <c r="AF256" i="5"/>
  <c r="AJ256" i="5" s="1"/>
  <c r="AF258" i="5"/>
  <c r="AJ258" i="5" s="1"/>
  <c r="AF252" i="5"/>
  <c r="AJ252" i="5" s="1"/>
  <c r="AF263" i="5"/>
  <c r="AJ263" i="5" s="1"/>
  <c r="AM152" i="5"/>
  <c r="AH153" i="5"/>
  <c r="AT153" i="5" s="1"/>
  <c r="AU153" i="5" s="1"/>
  <c r="AS157" i="5" s="1"/>
  <c r="AI267" i="5"/>
  <c r="BB176" i="5" l="1"/>
  <c r="BE176" i="5" s="1"/>
  <c r="BG176" i="5" s="1"/>
  <c r="AZ192" i="5" s="1"/>
  <c r="BA192" i="5" s="1"/>
  <c r="BA194" i="5" s="1"/>
  <c r="AZ176" i="5"/>
  <c r="AU176" i="5"/>
  <c r="AK250" i="5"/>
  <c r="BL168" i="5"/>
  <c r="BN168" i="5" s="1"/>
  <c r="BP168" i="5" s="1"/>
  <c r="BK168" i="5"/>
  <c r="BB166" i="5"/>
  <c r="BE166" i="5" s="1"/>
  <c r="BG166" i="5" s="1"/>
  <c r="AW166" i="5"/>
  <c r="AU166" i="5"/>
  <c r="AZ166" i="5"/>
  <c r="AZ168" i="5"/>
  <c r="AW168" i="5"/>
  <c r="BB168" i="5"/>
  <c r="BE168" i="5" s="1"/>
  <c r="BG168" i="5" s="1"/>
  <c r="AU168" i="5"/>
  <c r="BL166" i="5"/>
  <c r="BN166" i="5" s="1"/>
  <c r="BP166" i="5" s="1"/>
  <c r="BQ166" i="5" s="1"/>
  <c r="BK166" i="5"/>
  <c r="BL165" i="5"/>
  <c r="BN165" i="5" s="1"/>
  <c r="BP165" i="5" s="1"/>
  <c r="BQ165" i="5" s="1"/>
  <c r="BK165" i="5"/>
  <c r="AW165" i="5"/>
  <c r="AU165" i="5"/>
  <c r="AZ165" i="5"/>
  <c r="BB165" i="5"/>
  <c r="BE165" i="5" s="1"/>
  <c r="BG165" i="5" s="1"/>
  <c r="BH176" i="5"/>
  <c r="BD192" i="5" s="1"/>
  <c r="AJ267" i="5"/>
  <c r="AK251" i="5"/>
  <c r="AK252" i="5" s="1"/>
  <c r="AK253" i="5" s="1"/>
  <c r="AK254" i="5" s="1"/>
  <c r="AK255" i="5" s="1"/>
  <c r="AK256" i="5" s="1"/>
  <c r="AK257" i="5" s="1"/>
  <c r="AK258" i="5" s="1"/>
  <c r="AK259" i="5" s="1"/>
  <c r="AK260" i="5" s="1"/>
  <c r="AK261" i="5" s="1"/>
  <c r="AK262" i="5" s="1"/>
  <c r="AK263" i="5" s="1"/>
  <c r="AK264" i="5" s="1"/>
  <c r="AK265" i="5" s="1"/>
  <c r="AK266" i="5" s="1"/>
  <c r="AP153" i="5"/>
  <c r="AQ153" i="5" s="1"/>
  <c r="AO157" i="5" s="1"/>
  <c r="AL153" i="5"/>
  <c r="AM153" i="5" s="1"/>
  <c r="AF157" i="5" s="1"/>
  <c r="AD283" i="5" s="1"/>
  <c r="AK267" i="5" l="1"/>
  <c r="AH271" i="5" s="1"/>
  <c r="AG276" i="5" s="1"/>
  <c r="AD85" i="5" s="1"/>
  <c r="BB180" i="5"/>
  <c r="BC180" i="5" s="1"/>
  <c r="BH165" i="5"/>
  <c r="BH168" i="5"/>
  <c r="BB183" i="5"/>
  <c r="BC183" i="5" s="1"/>
  <c r="BQ168" i="5"/>
  <c r="BK172" i="5"/>
  <c r="BD194" i="5"/>
  <c r="E87" i="5" s="1"/>
  <c r="BD195" i="5"/>
  <c r="D87" i="5" s="1"/>
  <c r="BH166" i="5"/>
  <c r="BB181" i="5"/>
  <c r="BC181" i="5" s="1"/>
  <c r="AK102" i="5"/>
  <c r="AD280" i="5" l="1"/>
  <c r="AD83" i="5" s="1"/>
  <c r="BA183" i="5"/>
  <c r="BD183" i="5"/>
  <c r="BL172" i="5" s="1"/>
  <c r="G95" i="5"/>
  <c r="BK173" i="5"/>
  <c r="BA180" i="5"/>
  <c r="BD180" i="5"/>
  <c r="BD181" i="5"/>
  <c r="BA181" i="5"/>
  <c r="BC186" i="5"/>
  <c r="BC187" i="5" l="1"/>
  <c r="BA186" i="5"/>
  <c r="D85" i="5" s="1"/>
  <c r="BD186" i="5"/>
  <c r="E85" i="5" s="1"/>
  <c r="H9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J12" authorId="0" shapeId="0" xr:uid="{00000000-0006-0000-0000-000001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 ref="J46" authorId="0" shapeId="0" xr:uid="{00000000-0006-0000-0000-000002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Rafia Khatun</author>
  </authors>
  <commentList>
    <comment ref="A48" authorId="0" shapeId="0" xr:uid="{00000000-0006-0000-0100-000001000000}">
      <text>
        <r>
          <rPr>
            <sz val="9"/>
            <color indexed="81"/>
            <rFont val="Tahoma"/>
            <family val="2"/>
          </rPr>
          <t>Only enter deductions to be excluded from gross income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D21" authorId="0" shapeId="0" xr:uid="{00000000-0006-0000-0200-000001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 ref="X39" authorId="0" shapeId="0" xr:uid="{00000000-0006-0000-0200-000002000000}">
      <text>
        <r>
          <rPr>
            <sz val="9"/>
            <color indexed="81"/>
            <rFont val="Tahoma"/>
            <family val="2"/>
          </rPr>
          <t xml:space="preserve">Please note that the ONS data in respect of motor vehicle running costs &amp; public transport is statistical based on an average English household.  In the notes to expenditure please provide any additional supporting information, e.g. Company car, walk to work, two vehicles, etc..
</t>
        </r>
      </text>
    </comment>
    <comment ref="A48" authorId="0" shapeId="0" xr:uid="{4FC66356-9F55-46F6-B999-536705C84F3F}">
      <text>
        <r>
          <rPr>
            <sz val="9"/>
            <color indexed="81"/>
            <rFont val="Tahoma"/>
            <family val="2"/>
          </rPr>
          <t>Including hairdressing, other insurances, etc.</t>
        </r>
        <r>
          <rPr>
            <sz val="9"/>
            <color indexed="81"/>
            <rFont val="Tahoma"/>
            <family val="2"/>
          </rPr>
          <t xml:space="preserve">
</t>
        </r>
      </text>
    </comment>
    <comment ref="A54" authorId="0" shapeId="0" xr:uid="{5040D9C1-DE61-4886-A534-38EFF1E0CF68}">
      <text>
        <r>
          <rPr>
            <sz val="9"/>
            <color indexed="81"/>
            <rFont val="Tahoma"/>
            <family val="2"/>
          </rPr>
          <t xml:space="preserve">Toiletries, etc. not included in "Housekeeping", eg. Special purchases such as perfumes, aftershave, etc.
</t>
        </r>
      </text>
    </comment>
    <comment ref="A60" authorId="0" shapeId="0" xr:uid="{31719C9E-D56E-463C-B6D7-8EE621B91F52}">
      <text>
        <r>
          <rPr>
            <sz val="9"/>
            <color indexed="81"/>
            <rFont val="Tahoma"/>
            <family val="2"/>
          </rPr>
          <t xml:space="preserve">Including pet care &amp; veterinary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Rafia Khatun</author>
  </authors>
  <commentList>
    <comment ref="A48" authorId="0" shapeId="0" xr:uid="{00000000-0006-0000-0300-000001000000}">
      <text>
        <r>
          <rPr>
            <sz val="9"/>
            <color indexed="81"/>
            <rFont val="Tahoma"/>
            <family val="2"/>
          </rPr>
          <t>Only enter deductions to be excluded from gross income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D21" authorId="0" shapeId="0" xr:uid="{00000000-0006-0000-0400-000001000000}">
      <text>
        <r>
          <rPr>
            <sz val="9"/>
            <color indexed="81"/>
            <rFont val="Tahoma"/>
            <family val="2"/>
          </rPr>
          <t xml:space="preserve">The retirement status of </t>
        </r>
        <r>
          <rPr>
            <b/>
            <u/>
            <sz val="9"/>
            <color indexed="81"/>
            <rFont val="Tahoma"/>
            <family val="2"/>
          </rPr>
          <t>both</t>
        </r>
        <r>
          <rPr>
            <sz val="9"/>
            <color indexed="81"/>
            <rFont val="Tahoma"/>
            <family val="2"/>
          </rPr>
          <t xml:space="preserve"> applicants must be completed to ensure that tax is correctly deducted.  If there is no second applicant "N/A" can be selected.
</t>
        </r>
      </text>
    </comment>
    <comment ref="A46" authorId="0" shapeId="0" xr:uid="{A503BFAA-F28D-4171-A82A-0C92416BAA1F}">
      <text>
        <r>
          <rPr>
            <sz val="9"/>
            <color indexed="81"/>
            <rFont val="Tahoma"/>
            <family val="2"/>
          </rPr>
          <t>Including hairdressing, other insurances, etc.</t>
        </r>
        <r>
          <rPr>
            <sz val="9"/>
            <color indexed="81"/>
            <rFont val="Tahoma"/>
            <family val="2"/>
          </rPr>
          <t xml:space="preserve">
</t>
        </r>
      </text>
    </comment>
    <comment ref="A52" authorId="0" shapeId="0" xr:uid="{661C5200-1B52-4293-A0D6-F33D830BF032}">
      <text>
        <r>
          <rPr>
            <sz val="9"/>
            <color indexed="81"/>
            <rFont val="Tahoma"/>
            <family val="2"/>
          </rPr>
          <t xml:space="preserve">Toiletries, etc. not included in "Housekeeping", eg. Special purchases such as perfumes, aftershave, etc.
</t>
        </r>
      </text>
    </comment>
    <comment ref="A58" authorId="0" shapeId="0" xr:uid="{2BFE72CB-F6C9-4FAF-9F9C-03AF2E4E5DD3}">
      <text>
        <r>
          <rPr>
            <sz val="9"/>
            <color indexed="81"/>
            <rFont val="Tahoma"/>
            <family val="2"/>
          </rPr>
          <t xml:space="preserve">Including pet care &amp; veterinary fees, etc. 
</t>
        </r>
      </text>
    </comment>
    <comment ref="A68" authorId="0" shapeId="0" xr:uid="{00000000-0006-0000-0400-000004000000}">
      <text>
        <r>
          <rPr>
            <sz val="9"/>
            <color indexed="81"/>
            <rFont val="Tahoma"/>
            <family val="2"/>
          </rPr>
          <t xml:space="preserve">
For new borrowing, complete the top line marked ‘New Loan’.  If the loan is a further advance current borrowing should be entered by sub account number into lines 1 to 7.  All cells in yellow can be varied to assist in assessing affordability.  The monthly CMS figures are on an Interest-only basis, however, the monthly CMS on a capital and interest repayment basis are also shown in the separate table to the right of this table.</t>
        </r>
      </text>
    </comment>
    <comment ref="X71" authorId="0" shapeId="0" xr:uid="{00000000-0006-0000-0400-000005000000}">
      <text>
        <r>
          <rPr>
            <sz val="9"/>
            <color indexed="81"/>
            <rFont val="Tahoma"/>
            <family val="2"/>
          </rPr>
          <t>The Stress rate is 2% above the pay rate or 5.5%, whichever is the higher.</t>
        </r>
        <r>
          <rPr>
            <sz val="9"/>
            <color indexed="81"/>
            <rFont val="Tahoma"/>
            <family val="2"/>
          </rPr>
          <t xml:space="preserve">
</t>
        </r>
      </text>
    </comment>
    <comment ref="T91" authorId="0" shapeId="0" xr:uid="{00000000-0006-0000-0400-000006000000}">
      <text>
        <r>
          <rPr>
            <sz val="9"/>
            <color indexed="81"/>
            <rFont val="Tahoma"/>
            <family val="2"/>
          </rPr>
          <t xml:space="preserve">
Above 110% free income = GREEN (Accept)
100 - 110% free income = AMBER (Refer)
Less than 100% Free income = RED (Decline)
</t>
        </r>
      </text>
    </comment>
    <comment ref="O99" authorId="0" shapeId="0" xr:uid="{00000000-0006-0000-0400-000007000000}">
      <text>
        <r>
          <rPr>
            <sz val="9"/>
            <color indexed="81"/>
            <rFont val="Tahoma"/>
            <family val="2"/>
          </rPr>
          <t xml:space="preserve">
Above 110% free income = GREEN (Accept)
100 - 110% free income = AMBER (Refer)
Less than 100% Free income = RED (Decline)
</t>
        </r>
        <r>
          <rPr>
            <b/>
            <sz val="9"/>
            <color indexed="81"/>
            <rFont val="Tahoma"/>
            <family val="2"/>
          </rPr>
          <t xml:space="preserve">
</t>
        </r>
        <r>
          <rPr>
            <sz val="9"/>
            <color indexed="81"/>
            <rFont val="Tahoma"/>
            <family val="2"/>
          </rPr>
          <t xml:space="preserve">
</t>
        </r>
      </text>
    </comment>
    <comment ref="R99" authorId="0" shapeId="0" xr:uid="{00000000-0006-0000-0400-000008000000}">
      <text>
        <r>
          <rPr>
            <sz val="9"/>
            <color indexed="81"/>
            <rFont val="Tahoma"/>
            <family val="2"/>
          </rPr>
          <t xml:space="preserve">
Above 110% free income = GREEN (Accept)
100 - 110% free income = AMBER (Refer)
Less than 100% Free income = RED (Decline)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Colin Pytel</author>
  </authors>
  <commentList>
    <comment ref="S25" authorId="0" shapeId="0" xr:uid="{D9B7859C-CFE9-4A97-B28F-C9586064EBBB}">
      <text>
        <r>
          <rPr>
            <sz val="9"/>
            <color indexed="81"/>
            <rFont val="Tahoma"/>
            <family val="2"/>
          </rPr>
          <t>(Lending Metrics) This figure for Recreation 3 adults no children is not considered in any variance calculations due to low confidence in the marginal increase for a third adult.</t>
        </r>
      </text>
    </comment>
    <comment ref="AC25" authorId="0" shapeId="0" xr:uid="{B13287AF-4621-44CD-A145-A031B451B656}">
      <text>
        <r>
          <rPr>
            <sz val="9"/>
            <color indexed="81"/>
            <rFont val="Tahoma"/>
            <family val="2"/>
          </rPr>
          <t>(Lending Metrics) Does not include variance from 3 adults no children to 2 adults no children due to low confidence in 3 adults no children figure.</t>
        </r>
      </text>
    </comment>
    <comment ref="AM25" authorId="0" shapeId="0" xr:uid="{C1B53C20-C0A2-4B8A-BC7B-1F98690A61FF}">
      <text>
        <r>
          <rPr>
            <sz val="9"/>
            <color indexed="81"/>
            <rFont val="Tahoma"/>
            <family val="2"/>
          </rPr>
          <t>(Lending Metrics) Does not include variance from 3 adults no children to</t>
        </r>
        <r>
          <rPr>
            <b/>
            <sz val="9"/>
            <color indexed="81"/>
            <rFont val="Tahoma"/>
            <family val="2"/>
          </rPr>
          <t xml:space="preserve"> </t>
        </r>
        <r>
          <rPr>
            <sz val="9"/>
            <color indexed="81"/>
            <rFont val="Tahoma"/>
            <family val="2"/>
          </rPr>
          <t>2 adults no children due to low confidence in 3 adults no children figure.</t>
        </r>
      </text>
    </comment>
    <comment ref="S71" authorId="0" shapeId="0" xr:uid="{EA61D409-4BDB-460D-81C2-9F09107D6FDB}">
      <text>
        <r>
          <rPr>
            <sz val="9"/>
            <color indexed="81"/>
            <rFont val="Tahoma"/>
            <family val="2"/>
          </rPr>
          <t>(Lending Metrics) This figure for Recreation 3 adults no children is not considered in any variance calculations due to low confidence in the marginal increase for a third adult.</t>
        </r>
      </text>
    </comment>
  </commentList>
</comments>
</file>

<file path=xl/sharedStrings.xml><?xml version="1.0" encoding="utf-8"?>
<sst xmlns="http://schemas.openxmlformats.org/spreadsheetml/2006/main" count="4818" uniqueCount="1458">
  <si>
    <t>Applicant 1</t>
  </si>
  <si>
    <t>Applicant 2</t>
  </si>
  <si>
    <t>Total</t>
  </si>
  <si>
    <t>Council Tax</t>
  </si>
  <si>
    <t>Frequency</t>
  </si>
  <si>
    <t>Annual</t>
  </si>
  <si>
    <t>Totals</t>
  </si>
  <si>
    <t>Monthly</t>
  </si>
  <si>
    <t>Credit Cards</t>
  </si>
  <si>
    <t>Credit Card</t>
  </si>
  <si>
    <t>Balance</t>
  </si>
  <si>
    <t>%</t>
  </si>
  <si>
    <t>B</t>
  </si>
  <si>
    <t>Weekly</t>
  </si>
  <si>
    <t>Net Pay:</t>
  </si>
  <si>
    <t>Term</t>
  </si>
  <si>
    <t>Account Number</t>
  </si>
  <si>
    <t>Total Left Over</t>
  </si>
  <si>
    <t>Half-Yearly</t>
  </si>
  <si>
    <t>Child Benefit</t>
  </si>
  <si>
    <t>Date:</t>
  </si>
  <si>
    <t>Committed Expenditure</t>
  </si>
  <si>
    <t>Loans / HP</t>
  </si>
  <si>
    <t>Basic Essential Expenditure</t>
  </si>
  <si>
    <t>Life &amp; Health Assurance</t>
  </si>
  <si>
    <t>Basic Quality of Living Costs</t>
  </si>
  <si>
    <t xml:space="preserve"> </t>
  </si>
  <si>
    <t>Clothing</t>
  </si>
  <si>
    <t>Other</t>
  </si>
  <si>
    <t>Deductions</t>
  </si>
  <si>
    <t>Monthly Net Income</t>
  </si>
  <si>
    <t>Income types</t>
  </si>
  <si>
    <t>% Used</t>
  </si>
  <si>
    <t>Self-employed (Share of Net Profits)</t>
  </si>
  <si>
    <t>Self-employed (Dividends)</t>
  </si>
  <si>
    <t>Guaranteed shift allowance</t>
  </si>
  <si>
    <t>Guaranteed car allowance</t>
  </si>
  <si>
    <t>Guaranteed mortgage allowance</t>
  </si>
  <si>
    <t>Guaranteed rent allowance / weightings</t>
  </si>
  <si>
    <t>Regular shift allowance</t>
  </si>
  <si>
    <t>Regular car allowance</t>
  </si>
  <si>
    <t>Bursary (evidence required)</t>
  </si>
  <si>
    <t>Benefits (evidence required)</t>
  </si>
  <si>
    <t>Other Income (please specify)</t>
  </si>
  <si>
    <t>Regular commission</t>
  </si>
  <si>
    <t>Regular bonus</t>
  </si>
  <si>
    <t>Second job (dependent on type of employment)</t>
  </si>
  <si>
    <t>Basic gross salary</t>
  </si>
  <si>
    <t>Guaranteed bonus</t>
  </si>
  <si>
    <t>Guaranteed commission</t>
  </si>
  <si>
    <t>Annually</t>
  </si>
  <si>
    <t>Amount</t>
  </si>
  <si>
    <t>Used</t>
  </si>
  <si>
    <t>All Income</t>
  </si>
  <si>
    <t>Tax Code</t>
  </si>
  <si>
    <t>NI Rate (Primary threshold to upper earning limit)</t>
  </si>
  <si>
    <t>NI Rate (Above upper earnings limit)</t>
  </si>
  <si>
    <t>NIC Income Basic</t>
  </si>
  <si>
    <t>NIC Income Higher</t>
  </si>
  <si>
    <t>Tax Income Basic</t>
  </si>
  <si>
    <t>Tax Income Higher</t>
  </si>
  <si>
    <t>Total Deductions</t>
  </si>
  <si>
    <t>Expenditure</t>
  </si>
  <si>
    <t>Housing</t>
  </si>
  <si>
    <t>Comms</t>
  </si>
  <si>
    <t>Health</t>
  </si>
  <si>
    <t>Food</t>
  </si>
  <si>
    <t>Alcohol</t>
  </si>
  <si>
    <t>Recreation</t>
  </si>
  <si>
    <t>Transport</t>
  </si>
  <si>
    <t>Power</t>
  </si>
  <si>
    <t>Number of adults</t>
  </si>
  <si>
    <t>1 adult, 1 child</t>
  </si>
  <si>
    <t>C</t>
  </si>
  <si>
    <t>Number of children</t>
  </si>
  <si>
    <t>Lookup table</t>
  </si>
  <si>
    <t>1 Adult</t>
  </si>
  <si>
    <t>A</t>
  </si>
  <si>
    <t>1 adult, 0 children</t>
  </si>
  <si>
    <t>2 Adults</t>
  </si>
  <si>
    <t>1 Adult 1 Child</t>
  </si>
  <si>
    <t>1 adult, 2 children</t>
  </si>
  <si>
    <t>D</t>
  </si>
  <si>
    <t>1 Adult 2 Childs</t>
  </si>
  <si>
    <t>Communication</t>
  </si>
  <si>
    <t>2 adults, 0 children</t>
  </si>
  <si>
    <t>2 Adults 1 Child</t>
  </si>
  <si>
    <t>E</t>
  </si>
  <si>
    <t>2 adults, 1 child</t>
  </si>
  <si>
    <t>2 Adults 2 Childs</t>
  </si>
  <si>
    <t>F</t>
  </si>
  <si>
    <t>Food/Groceries</t>
  </si>
  <si>
    <t>2 adults, 2 children</t>
  </si>
  <si>
    <t>2 Adults 3 Childs</t>
  </si>
  <si>
    <t>G</t>
  </si>
  <si>
    <t>2 adults, 3 children</t>
  </si>
  <si>
    <t>Other Income</t>
  </si>
  <si>
    <t>Working Family Tax Credit</t>
  </si>
  <si>
    <t>Annual Total</t>
  </si>
  <si>
    <t>Variance</t>
  </si>
  <si>
    <t>Monthly Total</t>
  </si>
  <si>
    <t>Essential &amp; Quality of Life Monthly Total</t>
  </si>
  <si>
    <t>Essential &amp; Quality of Life Annual Total</t>
  </si>
  <si>
    <t>Actual</t>
  </si>
  <si>
    <t>Stress</t>
  </si>
  <si>
    <t>*</t>
  </si>
  <si>
    <t>*N.B. Totals assume Council Tax is paid for 10 months - monthly total includes ten twelfths of the monthly amount</t>
  </si>
  <si>
    <t>1st clause</t>
  </si>
  <si>
    <r>
      <t>Other Income -</t>
    </r>
    <r>
      <rPr>
        <b/>
        <sz val="10"/>
        <color indexed="10"/>
        <rFont val="Tahoma"/>
        <family val="2"/>
      </rPr>
      <t xml:space="preserve"> THESE MUST BE MONTHLY</t>
    </r>
  </si>
  <si>
    <t>Student loan</t>
  </si>
  <si>
    <t>Childcare vouchers</t>
  </si>
  <si>
    <t>Water</t>
  </si>
  <si>
    <t>Gas</t>
  </si>
  <si>
    <t>Electricity</t>
  </si>
  <si>
    <t>Other Heating</t>
  </si>
  <si>
    <t>Holidays</t>
  </si>
  <si>
    <t>Tax Income Highest</t>
  </si>
  <si>
    <t>Household</t>
  </si>
  <si>
    <t>Services</t>
  </si>
  <si>
    <t>Variable</t>
  </si>
  <si>
    <t>1 if fixed</t>
  </si>
  <si>
    <t>1 if 5 year</t>
  </si>
  <si>
    <t>2 if fixed 5yr</t>
  </si>
  <si>
    <t>Household goods &amp; repairs</t>
  </si>
  <si>
    <t>Sub</t>
  </si>
  <si>
    <t>Existing residential mortgage commitment</t>
  </si>
  <si>
    <t>Actual rate</t>
  </si>
  <si>
    <t>Fixed</t>
  </si>
  <si>
    <t>Product term</t>
  </si>
  <si>
    <t>Stress rate</t>
  </si>
  <si>
    <t>5yr fixed?</t>
  </si>
  <si>
    <t>Term discount</t>
  </si>
  <si>
    <t>BTL SVR</t>
  </si>
  <si>
    <t>Personal / Occupational Pension</t>
  </si>
  <si>
    <t>State Retirement Pension</t>
  </si>
  <si>
    <t>Investment / Trust Income</t>
  </si>
  <si>
    <t>App. 1 Retired</t>
  </si>
  <si>
    <t>App. 2 Retired</t>
  </si>
  <si>
    <t>Yes</t>
  </si>
  <si>
    <t>No</t>
  </si>
  <si>
    <t>N/A</t>
  </si>
  <si>
    <t>1 retired adult, no children</t>
  </si>
  <si>
    <t>2 retired adult, no children</t>
  </si>
  <si>
    <t>H</t>
  </si>
  <si>
    <t>I</t>
  </si>
  <si>
    <t>Number Retired</t>
  </si>
  <si>
    <t>Non-retired</t>
  </si>
  <si>
    <t>National Insurance</t>
  </si>
  <si>
    <t>Petrol</t>
  </si>
  <si>
    <t>Road Tax</t>
  </si>
  <si>
    <t>Notes to the expenditure</t>
  </si>
  <si>
    <t>Cigarettes</t>
  </si>
  <si>
    <t>Taken from ONS table A35 - detailed average expenditure on transport costs in England</t>
  </si>
  <si>
    <t>Motor vehicle running costs</t>
  </si>
  <si>
    <t>Petrol, etc.</t>
  </si>
  <si>
    <t>Other costs</t>
  </si>
  <si>
    <t>Public transport costs</t>
  </si>
  <si>
    <t>Rail / tube fares</t>
  </si>
  <si>
    <t>Bus fares</t>
  </si>
  <si>
    <t>Combined fares</t>
  </si>
  <si>
    <t>Other travel costs</t>
  </si>
  <si>
    <t>Personal transport</t>
  </si>
  <si>
    <t xml:space="preserve">Parking </t>
  </si>
  <si>
    <t>Public transport</t>
  </si>
  <si>
    <t>Spares &amp; accessories</t>
  </si>
  <si>
    <t>Motor Insurance</t>
  </si>
  <si>
    <t>MOT, repairs, servicing, etc.</t>
  </si>
  <si>
    <t>Loan</t>
  </si>
  <si>
    <t>Rate</t>
  </si>
  <si>
    <t>Calc value</t>
  </si>
  <si>
    <t>CMS</t>
  </si>
  <si>
    <t>Applicant Name(s)</t>
  </si>
  <si>
    <t>Interest-only</t>
  </si>
  <si>
    <t>Cap. Repayment</t>
  </si>
  <si>
    <t xml:space="preserve">Less 10% </t>
  </si>
  <si>
    <t>90% Net Disposable Monthly Income</t>
  </si>
  <si>
    <t xml:space="preserve">Taken from ONS table A23 - UK, financial year ending 2016 </t>
  </si>
  <si>
    <t xml:space="preserve">Taken from ONS table A35 - detailed average expenditure on utilities in England - UK, financial year ending 2014 to financial year ending 2016 </t>
  </si>
  <si>
    <t>Deductions after tax</t>
  </si>
  <si>
    <t>Deductions before tax</t>
  </si>
  <si>
    <t>Pension contributions</t>
  </si>
  <si>
    <t>Net Taxable Income</t>
  </si>
  <si>
    <t>Net Income:</t>
  </si>
  <si>
    <t>STUDENT'S PERSONAL INCOME &amp; EXPENDITURE ANNUAL BUDGET SUMMARY</t>
  </si>
  <si>
    <t xml:space="preserve">Total  Income </t>
  </si>
  <si>
    <t>Property room letting potential</t>
  </si>
  <si>
    <t>Total  Income After Tax</t>
  </si>
  <si>
    <t>Less total expenditure</t>
  </si>
  <si>
    <t>Net Disposable Income</t>
  </si>
  <si>
    <t>90% GUARANTOR'S PERSONAL INCOME SUMMARY</t>
  </si>
  <si>
    <t>GUARANTOR'S PERSONAL INCOME  SUMMARY</t>
  </si>
  <si>
    <t>IMPORTANT - UPDATE ONS FIGURES ON STUDENT AFFORDABILITY TAB</t>
  </si>
  <si>
    <t>To start a new line press Alt + Return</t>
  </si>
  <si>
    <t>Int. only</t>
  </si>
  <si>
    <t>Student</t>
  </si>
  <si>
    <t>Guarantor</t>
  </si>
  <si>
    <t>Interest only</t>
  </si>
  <si>
    <t>Capital repayment</t>
  </si>
  <si>
    <t>Loan Responsibility Split at 130% of stressed CMS</t>
  </si>
  <si>
    <t>Repayment type</t>
  </si>
  <si>
    <t>Cap. r/p</t>
  </si>
  <si>
    <t>Interest-only loan split</t>
  </si>
  <si>
    <t>Stressed r/p</t>
  </si>
  <si>
    <t>Capital &amp; Interest 
loan split</t>
  </si>
  <si>
    <t>Capital &amp; Interest 
CMS split</t>
  </si>
  <si>
    <t>Interest-only 
CMS split</t>
  </si>
  <si>
    <t>Part &amp; Part</t>
  </si>
  <si>
    <t>Balance outstanding</t>
  </si>
  <si>
    <t>Remaining Term Years</t>
  </si>
  <si>
    <t>Remaining Term Months</t>
  </si>
  <si>
    <t>GUARANTOR RESIDENTIAL MORTGAGE COMMITMENTS</t>
  </si>
  <si>
    <t>Actual CMS</t>
  </si>
  <si>
    <t>Guarantor's Basic Essential Expenditure</t>
  </si>
  <si>
    <t>Guarantor's Basic Quality of Living Costs</t>
  </si>
  <si>
    <t>Income multiple calculation</t>
  </si>
  <si>
    <t>Less committed expenditure</t>
  </si>
  <si>
    <t>GUARANTOR RESPONSIBILITIES &amp; ABILITY TO SUPPORT LOAN SHORTFALL</t>
  </si>
  <si>
    <t>Less taxable salary deductions</t>
  </si>
  <si>
    <t xml:space="preserve">Actual income multiple </t>
  </si>
  <si>
    <t>Alternative calculation (possible not working correctly 080817)</t>
  </si>
  <si>
    <t>Divided by available guarantor income</t>
  </si>
  <si>
    <t>MOT, servicing…</t>
  </si>
  <si>
    <t>Ability to support stressed CMS on combined room letting potential, student personal income and/or guarantor income</t>
  </si>
  <si>
    <t>Important - please complete the guarantor's personal mortgage commitment below.</t>
  </si>
  <si>
    <t>N.B. For Part &amp; Part complete both Cap. r/p &amp; Int. only cells.</t>
  </si>
  <si>
    <t>Stress rate
(SVR + 1%)</t>
  </si>
  <si>
    <t>Retirement status</t>
  </si>
  <si>
    <t>IMPORTANT -Amend the income frequency as required.</t>
  </si>
  <si>
    <t>Number</t>
  </si>
  <si>
    <t>Code letter</t>
  </si>
  <si>
    <t>Total of Other Income Sources*</t>
  </si>
  <si>
    <t xml:space="preserve">*All other income will be carried over separately to the Affordability tab and where indicated, 50% of income will be applied.  </t>
  </si>
  <si>
    <t>*N.B. Where applicable, totals assume Council Tax is paid for 10 months - monthly total includes ten twelfths of the monthly amount</t>
  </si>
  <si>
    <t>Stressed CMS 
6.34%</t>
  </si>
  <si>
    <t>Lease, maintenance, ground rent &amp; service charges</t>
  </si>
  <si>
    <t xml:space="preserve">Interest-only Repayment Strategy </t>
  </si>
  <si>
    <t>Existing STRESSED residential mortgage commitment</t>
  </si>
  <si>
    <t>(Benefits)</t>
  </si>
  <si>
    <t>(Child benefit)</t>
  </si>
  <si>
    <t>(WFTC)</t>
  </si>
  <si>
    <t>(Other)</t>
  </si>
  <si>
    <t>80 or over / Under 80 Income multiples</t>
  </si>
  <si>
    <t>Income multiplier flag</t>
  </si>
  <si>
    <t>Under 80</t>
  </si>
  <si>
    <t>Applicant 1 80 or over</t>
  </si>
  <si>
    <t>80 or over</t>
  </si>
  <si>
    <t>Applicant 2 80 or over</t>
  </si>
  <si>
    <t>Actual Multiple</t>
  </si>
  <si>
    <t>Income multiplier - FAIL / PASS CALCULATOR</t>
  </si>
  <si>
    <t>PLEASE NOTE THAT ALL CELLS IN YELLOW CAN BE POPULATED WITH INFORMATION.</t>
  </si>
  <si>
    <t>THE FOLLOWING INCOME TYPES WILL USE 100% OF THE INCOME ENTERED</t>
  </si>
  <si>
    <t>Tax code</t>
  </si>
  <si>
    <t>Enter the Tax code numbers in cells D14 and G14, if known, and the tax code letter in cells E14 and H14, if known, otherwise leave blank.</t>
  </si>
  <si>
    <t>Basic Gross Salary</t>
  </si>
  <si>
    <t>Self-employed &amp; Other Guaranteed Income types</t>
  </si>
  <si>
    <t>THE FOLLOWING INCOME TYPES WILL USE 50% OF THE INCOME ENTERED</t>
  </si>
  <si>
    <t>Other regular but not guaranteed income</t>
  </si>
  <si>
    <t xml:space="preserve">Input regular non-guaranteed overtime, commission, bonuses, etc.   From the dropdown list remember to choose either Annual, Monthly or Weekly.  </t>
  </si>
  <si>
    <t>THE FOLLOWING WILL BE DEDUCTED FROM THE INCOME</t>
  </si>
  <si>
    <t xml:space="preserve">Input pension contributions, Childcare vouchers or other non-taxable deductions.  From the dropdown list remember to choose either Annual, Monthly or Weekly.   </t>
  </si>
  <si>
    <t xml:space="preserve">Input student loans, or other deductions that are not eligible for tax relief.  From the dropdown list remember to choose either Annual, Monthly or Weekly. </t>
  </si>
  <si>
    <t>THE FOLLOWING MUST BE ENTERED AS MONTHLY AMOUNTS.  NO TAX WILL BE DEDUCTED AND EITHER 50% OR 100% WILL BE USED BASED ON THE INCOME TYPE</t>
  </si>
  <si>
    <t>Input full amounts for monthly maintenance, bursaries, rental income, etc. or other non-taxable income.  These figures are carried forward and itemised on the Affordability tab at either 100% or 50%.  Evidence will be required.</t>
  </si>
  <si>
    <t>Total of Other Income Sources</t>
  </si>
  <si>
    <t>This field will calculate the monthly total of all other income based on either 50% or 100% of the individual amounts entered.</t>
  </si>
  <si>
    <t>Income - Net Pay</t>
  </si>
  <si>
    <t>Other income</t>
  </si>
  <si>
    <t>Household size</t>
  </si>
  <si>
    <t>Enter the number of adults and the number of children in the household - this will change the ONS figures that appear to the right of the Basic Essential Expenditure and Basic Quality of Living Costs .</t>
  </si>
  <si>
    <t>Household size - retirement status</t>
  </si>
  <si>
    <r>
      <t xml:space="preserve">From the dropdown options indicate whether each applicant is retired or non-retired.  </t>
    </r>
    <r>
      <rPr>
        <b/>
        <sz val="11"/>
        <rFont val="Calibri"/>
        <family val="2"/>
      </rPr>
      <t>IMPORTANT - Failure to indicate this will affect the net pay and will give incorrect figures.</t>
    </r>
  </si>
  <si>
    <t>Committed expenditure</t>
  </si>
  <si>
    <t xml:space="preserve">Credit Card / Store Card Monthly Payments </t>
  </si>
  <si>
    <t>Input the credit card or store card balance into the cell to the right of the committed expenditure.  The calculator will carry over a monthly commitment of 3% of the balance input.</t>
  </si>
  <si>
    <t>Maintenance / CSA Payments</t>
  </si>
  <si>
    <t>Input all leasehold, maintenance costs, etc. associated with the property.</t>
  </si>
  <si>
    <t>Interest-only Repayment Strategy</t>
  </si>
  <si>
    <t>Housekeeping (food &amp; washing)</t>
  </si>
  <si>
    <t>Utilities (Gas, Water, Electricity)</t>
  </si>
  <si>
    <t>Council tax</t>
  </si>
  <si>
    <t>Buildings insurance</t>
  </si>
  <si>
    <t>Input the monthly cost of buildings (and contents) insurance.</t>
  </si>
  <si>
    <t>Communication (Mobile phone)</t>
  </si>
  <si>
    <t>Input the monthly costs in respect of mobile phones.</t>
  </si>
  <si>
    <t>Essential travel motoring costs (Inc. work or school)</t>
  </si>
  <si>
    <t>Input essential motoring travel costs into the "Monthly Travel Costs Breakdown" section to the right of the Basic Essential Expenditure section.</t>
  </si>
  <si>
    <t>Input any premiums in respect of life and health assurance.</t>
  </si>
  <si>
    <t>Essential travel public transport costs (Inc. work or school)</t>
  </si>
  <si>
    <t>Input essential public transport travel costs into the "Monthly Travel Costs Breakdown" section to the right of the Basic Essential Expenditure section.</t>
  </si>
  <si>
    <t>Other expenditure</t>
  </si>
  <si>
    <t>Input any other essential expenditure not already captured such as dental or opticians costs, prescriptions, veterinary fees, etc.</t>
  </si>
  <si>
    <t>Recreation costs, personal goods, etc.</t>
  </si>
  <si>
    <t>Smoker(s)?</t>
  </si>
  <si>
    <t>Holidays, childcare, clothing, etc.</t>
  </si>
  <si>
    <r>
      <t xml:space="preserve">The calculator shows the monthly and annual totals for the Essential and Basic Quality of Living costs declared but </t>
    </r>
    <r>
      <rPr>
        <b/>
        <u/>
        <sz val="11"/>
        <rFont val="Calibri"/>
        <family val="2"/>
      </rPr>
      <t>not</t>
    </r>
    <r>
      <rPr>
        <sz val="11"/>
        <rFont val="Calibri"/>
        <family val="2"/>
      </rPr>
      <t xml:space="preserve"> the committed expenditure.</t>
    </r>
  </si>
  <si>
    <t>ONS Household Statistics</t>
  </si>
  <si>
    <t xml:space="preserve">The ONS (Office of National Statistics) data appears to the right of the Basic Essential Expenditure and Basic Quality of Living Costs and is based on the number of adults and the number of children in the household.  </t>
  </si>
  <si>
    <t>Loan details</t>
  </si>
  <si>
    <t>Full details of loan</t>
  </si>
  <si>
    <t>If the assessment is for a further advance, existing mortgage commitments can be shown by completing the Sub account rows.</t>
  </si>
  <si>
    <t>Stress rates</t>
  </si>
  <si>
    <t>Non-retired households - 4.5 x Gross Income, less committed expenditure.</t>
  </si>
  <si>
    <t>Retired households - 4.5 x Gross Income, less committed expenditure / Age 80 or over - 3.5 X Gross Income, less committed expenditure.</t>
  </si>
  <si>
    <t>If the Income Multiple is exceeded it will display as RED / FAIL.  If it is within the permitted Income Multiple it will display as GREEN / PASS.</t>
  </si>
  <si>
    <t>Help - Student Income Tab</t>
  </si>
  <si>
    <t xml:space="preserve">If the student receives salaried income, input the annual, monthly or weekly gross income for each student.  From the dropdown list remember to choose either Annual, Monthly or Weekly. </t>
  </si>
  <si>
    <t xml:space="preserve">If the student has self-employed income, input the self-employed income or guaranteed overtime, commission, bonuses, etc.   From the dropdown list remember to choose either Annual, Monthly or Weekly.  </t>
  </si>
  <si>
    <t xml:space="preserve">If the student is salaried, input regular non-guaranteed overtime, commission, bonuses, etc.   From the dropdown list remember to choose either Annual, Monthly or Weekly.  </t>
  </si>
  <si>
    <t xml:space="preserve">Input student loans (if they are currently paying these), or other deductions that are not eligible for tax relief.  From the dropdown list remember to choose either Annual, Monthly or Weekly. </t>
  </si>
  <si>
    <t>N.B. The mostly likely income will be from bursaries.  This has been specifically highlighted in the calculator.</t>
  </si>
  <si>
    <t>Each student's net salaried monthly income (if applicable) is pulled through from the Income tab.</t>
  </si>
  <si>
    <r>
      <t>Other income such as Bursaries, Working Family tax credit, Child benefit, etc. are pulled through from the Income tab.</t>
    </r>
    <r>
      <rPr>
        <b/>
        <sz val="11"/>
        <rFont val="Calibri"/>
        <family val="2"/>
      </rPr>
      <t xml:space="preserve">  IMPORTANT - No tax has been deducted from these figures.</t>
    </r>
  </si>
  <si>
    <t>Input any existing residential mortgage commitments for which the student is responsible.</t>
  </si>
  <si>
    <t>Help - Student Affordability Tab - All commitments should be entered as monthly</t>
  </si>
  <si>
    <t>Input the monthly amount of any secured or unsecured loans held by the student(s).</t>
  </si>
  <si>
    <t>Input the amount of any maintenance or CSA payments the student(s) has to make.</t>
  </si>
  <si>
    <t>Input the monthly cost of any repayment strategy that the student(s) contributes towards e.g. endowment, pension plan etc.…</t>
  </si>
  <si>
    <t>Input the student's average monthly expenditure on shopping.</t>
  </si>
  <si>
    <t xml:space="preserve">Input the total amount of the Gas, Water and Electricity payments declared by the student. </t>
  </si>
  <si>
    <t>When inputting the council tax payment enter the monthly payment declared by the student(s).  The calculator assumes Council Tax is paid over 10 months and uses ten twelfths of the monthly amount.</t>
  </si>
  <si>
    <t>Input the total monthly amount of all basic quality of living costs declared by the student(s).</t>
  </si>
  <si>
    <t>Use the dropdown list to indicate whether the student(s) is a smoker or not.</t>
  </si>
  <si>
    <t>Use this section to enter any supporting information to the expenditure you consider to be relevant such as student walks to college, etc.</t>
  </si>
  <si>
    <t>The ONS data can be used as a benchmark when completing the Affordability assessment.  If you intend to use ONS data rather than declared expenditure you must inform the student.</t>
  </si>
  <si>
    <t xml:space="preserve">This cell shows the percentage variance between the annual total of the ONS data and the annual total of the Basic Essential Expenditure and the Basic Quality of Living Costs. </t>
  </si>
  <si>
    <t>The calculator applies a stress rate of the higher of 5.5% or 2% above product rate.  If the product is fixed for 5 years or more no stress rate is applied and the product rate is used instead.</t>
  </si>
  <si>
    <t>Enter the new loan details on the first row.  The calculator autiomatically shows both the Repayment and Interest-only payments as well as the stressed payments.  For Part and Part, split the loan amount between two rows and manually add together.</t>
  </si>
  <si>
    <t xml:space="preserve">Enter the number of rooms to be let and the monthly Room Letting Potential </t>
  </si>
  <si>
    <t>Property expenditure summary / Student personal expenditure summary</t>
  </si>
  <si>
    <t>The calculator automatically separates out the property expenditure from the student's personal (non-property related) expenditure and shows them separately to the right of the budget summary.</t>
  </si>
  <si>
    <t>The calculator works out the student's disposable free income after personal (non-property) related expenditure has been deducted.  Where there is no income the calculator will show a zero figure and state there is no disposable income.</t>
  </si>
  <si>
    <t>The calculator takes 90% of the student and guarantor's disposable income, net of expenditure and works out the coverage of the stressed mortgage payment on Interest-only and Capital Repayment.</t>
  </si>
  <si>
    <t>Choose the repayment method from the dropdown box in the Loan Shortfall calculator and this splits the loan responsibilities between the student and the guarantor by loan amount and repayment amount.</t>
  </si>
  <si>
    <t>Guarantor Income Multiple calculation</t>
  </si>
  <si>
    <t>The calculator takes the loan shortfall based on the loan repayment method chosen and works out the guarantor's actual income multiple.</t>
  </si>
  <si>
    <t>The maximum income multiples applied to the guarantor's income are based on the information entered on the Affordability tab.</t>
  </si>
  <si>
    <t>Maximum guarantor income multiple</t>
  </si>
  <si>
    <t>The calculation at the bottom of the Student Affordability tab shows the maximum guarantor income multiple available.</t>
  </si>
  <si>
    <t>Help - Guarantor Income Tab</t>
  </si>
  <si>
    <t>Retirement status of all guarantors</t>
  </si>
  <si>
    <t>Select the correct retirement status for each guarantor from the dropdown options on the GUARANTOR AFFORDABILITY TAB before completing the Income tab.  Failure to do this will affect the income calculation.</t>
  </si>
  <si>
    <t>Retirement status of student(s)</t>
  </si>
  <si>
    <t>Select the correct retirement status for the student(s) from the dropdown options on the STUDENT AFFORDABILITY TAB before completing the Income tab.  Failure to do this will affect the income calculation.</t>
  </si>
  <si>
    <t xml:space="preserve">Input the annual, monthly or weekly gross income for each guarantor.  From the dropdown list remember to choose either Annual, Monthly or Weekly. </t>
  </si>
  <si>
    <t xml:space="preserve">Input the self-employed income or guaranteed overtime, commission, bonuses, etc.   From the dropdown list remember to choose either Annual, Monthly or Weekly.  </t>
  </si>
  <si>
    <t>This field calculates the amount of net monthly income and is carried over to the Guarantor Affordability tab.</t>
  </si>
  <si>
    <t>This field calculates the amount of net monthly income and is carried over to the Student Affordability tab.</t>
  </si>
  <si>
    <t>Help - Guarantor Affordability Tab - All commitments should be entered as monthly</t>
  </si>
  <si>
    <t>Each guarantor's net monthly income is pulled through from the Income tab.</t>
  </si>
  <si>
    <r>
      <t xml:space="preserve">From the dropdown options indicate whether each guarantor is retired or non-retired.  </t>
    </r>
    <r>
      <rPr>
        <b/>
        <sz val="11"/>
        <rFont val="Calibri"/>
        <family val="2"/>
      </rPr>
      <t>IMPORTANT - Failure to indicate this will affect the net pay and will give incorrect figures.</t>
    </r>
  </si>
  <si>
    <t>Guarantor(s) 80 or over &amp; reliant on their income?</t>
  </si>
  <si>
    <t>If affordability at the time of application relies on the income of one or both guarantors who are age 80 or over at the time of application choose "Yes" and an Income Multiple of 3.5 x will be applied.  Otherwise, leave as "No".</t>
  </si>
  <si>
    <t>Complete the "GUARANTOR RESIDENTIAL MORTGAGE COMMITMENTS" section towards the bottom of the tab and this will populated the guarantor's stressed  mortgage commitment.</t>
  </si>
  <si>
    <t>Input the monthly amount of any secured or unsecured loans held by the guarantor(s).</t>
  </si>
  <si>
    <t>Input the amount of any maintenance or CSA payments the guarantor(s) has to make.</t>
  </si>
  <si>
    <t>Input all leasehold, maintenance costs, etc. associated with the guarantor's own property.</t>
  </si>
  <si>
    <t>Input the monthly cost of any repayment strategy that the guarantor(s) contributes towards e.g. endowment, pension plan etc.…</t>
  </si>
  <si>
    <t>Input the guarantor's average monthly expenditure on shopping.</t>
  </si>
  <si>
    <t xml:space="preserve">Input the total amount of the Gas, Water and Electricity payments declared by the guarantor. </t>
  </si>
  <si>
    <t>When inputting the council tax payment enter the monthly payment declared by the guarantor(s).  The calculator assumes Council Tax is paid over 10 months and uses ten twelfths of the monthly amount.</t>
  </si>
  <si>
    <t>Input the total monthly amount of all basic quality of living costs declared by the guarantor(s).</t>
  </si>
  <si>
    <t>Use the dropdown list to indicate whether the guarantor(s) is a smoker or not.</t>
  </si>
  <si>
    <t>Guarantor's Committed expenditure</t>
  </si>
  <si>
    <t>Use this section to enter any supporting information to the expenditure you consider to be relevant such as guarantor has a company car, walks to work, etc.</t>
  </si>
  <si>
    <t>The ONS data can be used as a benchmark when completing the Affordability assessment.  If you intend to use ONS data rather than declared expenditure you must inform the guarantor.</t>
  </si>
  <si>
    <t>This section calculates the guarantor's monthly and annual income after tax, less expenditure.  The box to the right of the calculation states whether or not the guarantor has disposable income after expenditure has been deducted.</t>
  </si>
  <si>
    <t>This section takes 10% off the guarantor's disposable income.</t>
  </si>
  <si>
    <t xml:space="preserve">If the guarantor(s) have their own mortgage enter the details on the appropriate row (Capital repayment or Interest-only).  If it is Part and Part, use both rows.  The stressed CMS is based on the LBS SVR plus 1% and is carried over to the Guarantor Affordability assessment.   </t>
  </si>
  <si>
    <t>The first calculation shows the maximum income multiple that the guarantor is able to afford.</t>
  </si>
  <si>
    <t>Both calculations are carried over to the Student Affordability tab.</t>
  </si>
  <si>
    <t>Guarantor Maximum Income Multiples</t>
  </si>
  <si>
    <t xml:space="preserve">The second calculation shows the actual income multiple applied to the shortfall, dependent on the guarantor's age.  </t>
  </si>
  <si>
    <r>
      <t xml:space="preserve">The coverage must be equal to or greater than </t>
    </r>
    <r>
      <rPr>
        <b/>
        <u/>
        <sz val="11"/>
        <rFont val="Calibri"/>
        <family val="2"/>
      </rPr>
      <t>130% of the stressed mortgage payment</t>
    </r>
    <r>
      <rPr>
        <b/>
        <sz val="11"/>
        <rFont val="Calibri"/>
        <family val="2"/>
      </rPr>
      <t xml:space="preserve"> on the repayment method to be applied to the case.</t>
    </r>
  </si>
  <si>
    <r>
      <rPr>
        <b/>
        <u/>
        <sz val="10"/>
        <rFont val="Tahoma"/>
        <family val="2"/>
      </rPr>
      <t>Tax Code ending in 'K'</t>
    </r>
    <r>
      <rPr>
        <b/>
        <sz val="10"/>
        <rFont val="Tahoma"/>
        <family val="2"/>
      </rPr>
      <t xml:space="preserve"> </t>
    </r>
    <r>
      <rPr>
        <sz val="10"/>
        <rFont val="Tahoma"/>
        <family val="2"/>
      </rPr>
      <t xml:space="preserve">
K codes are negative codes so adjustments are added to pay rather than deducted from it. The K code can avoid a tax underpayment accumulating during the year. A regulatory limit prevents tax deductions exceeding 50% of gross pay. Weekly or monthly PAYE tax liabilities above the regulatory limit are carried forward.</t>
    </r>
  </si>
  <si>
    <t xml:space="preserve">(WFTC) </t>
  </si>
  <si>
    <t xml:space="preserve">(Child benefit) </t>
  </si>
  <si>
    <t xml:space="preserve">(Benefits) </t>
  </si>
  <si>
    <t xml:space="preserve">(Other) </t>
  </si>
  <si>
    <t>Taken from ONS table A35 - detailed average expenditure on utilities in England - UK, financial year ending 2016 to financial year ending 2018</t>
  </si>
  <si>
    <t>Taken from ONS table A35 - detailed average expenditure on transport costs in England - UK, financial year ending 2015 to financial year ending 2018</t>
  </si>
  <si>
    <t>N/a</t>
  </si>
  <si>
    <t>IMPORTANT - Please answer the question for each applicant</t>
  </si>
  <si>
    <r>
      <t xml:space="preserve">Where 50% is indicated enter the </t>
    </r>
    <r>
      <rPr>
        <u/>
        <sz val="10"/>
        <rFont val="Tahoma"/>
        <family val="2"/>
      </rPr>
      <t xml:space="preserve">FULL </t>
    </r>
    <r>
      <rPr>
        <sz val="10"/>
        <rFont val="Tahoma"/>
        <family val="2"/>
      </rPr>
      <t xml:space="preserve">amount &amp; this will automatically be amended to 50% in </t>
    </r>
    <r>
      <rPr>
        <u/>
        <sz val="10"/>
        <rFont val="Tahoma"/>
        <family val="2"/>
      </rPr>
      <t>all</t>
    </r>
    <r>
      <rPr>
        <sz val="10"/>
        <rFont val="Tahoma"/>
        <family val="2"/>
      </rPr>
      <t xml:space="preserve"> calculations.</t>
    </r>
  </si>
  <si>
    <t>&lt;&lt;ENTER TAX CODE NUMBERS IN CELLS D14 and G14 IF KNOWN &amp; TAX CODE LETTER IN CELLS E14 AND H14 IF KNOWN - OTHERWISE LEAVE BLANK&gt;&gt;</t>
  </si>
  <si>
    <t>SALARY AND DIVIDEND TAX CALCULATOR</t>
  </si>
  <si>
    <t>Total Annual Income incl. dividends</t>
  </si>
  <si>
    <t>APPLICANT ONE</t>
  </si>
  <si>
    <t>APPLICANT TWO</t>
  </si>
  <si>
    <t>Annual Salary / Self-employed Income</t>
  </si>
  <si>
    <t>Salary</t>
  </si>
  <si>
    <t>Dividend Income</t>
  </si>
  <si>
    <t>Dividends</t>
  </si>
  <si>
    <t>Dividend</t>
  </si>
  <si>
    <t>Basic rate limit</t>
  </si>
  <si>
    <t>Additional rate</t>
  </si>
  <si>
    <t>Allowance reduction threshold</t>
  </si>
  <si>
    <t>Allowance</t>
  </si>
  <si>
    <t>Other Taxable Income (please specify)</t>
  </si>
  <si>
    <t>Salary Tax</t>
  </si>
  <si>
    <t>Dividend Tax</t>
  </si>
  <si>
    <t>Other deductions after tax</t>
  </si>
  <si>
    <t>Annual Net Income</t>
  </si>
  <si>
    <t>N.B.  No tax will be deducted from the following figures and evidence of income will be required.</t>
  </si>
  <si>
    <r>
      <rPr>
        <b/>
        <u/>
        <sz val="10"/>
        <rFont val="Tahoma"/>
        <family val="2"/>
      </rPr>
      <t>Personal Allowance - income over £100,000</t>
    </r>
    <r>
      <rPr>
        <sz val="10"/>
        <rFont val="Tahoma"/>
        <family val="2"/>
      </rPr>
      <t xml:space="preserve">
Your Personal Allowance goes down by £1 for every £2 that your adjusted net income is above £100,000. This means your allowance is zero if your income is £125,000 or above.</t>
    </r>
  </si>
  <si>
    <t>Non-taxable Income (please specify)</t>
  </si>
  <si>
    <t>LANDLORD COSTS - TAX</t>
  </si>
  <si>
    <t>Highest rate of tax applicable</t>
  </si>
  <si>
    <t>Basic rate / Higher rate tax payer input</t>
  </si>
  <si>
    <t>Basic rate</t>
  </si>
  <si>
    <t>Higher rate</t>
  </si>
  <si>
    <t>Result</t>
  </si>
  <si>
    <t>Rate of tax applied to profits</t>
  </si>
  <si>
    <t>ONS Information Header only</t>
  </si>
  <si>
    <t>1 adult, no children</t>
  </si>
  <si>
    <t>2 adults, no children</t>
  </si>
  <si>
    <t>1 adult, 2 or more children</t>
  </si>
  <si>
    <t>2 adults, 3 or more children</t>
  </si>
  <si>
    <t>2 retired adults, no children</t>
  </si>
  <si>
    <t>2020 / 2021 Salary &amp; Dividend Test Summary</t>
  </si>
  <si>
    <t>App 1</t>
  </si>
  <si>
    <t>App 2</t>
  </si>
  <si>
    <t>Gross salary</t>
  </si>
  <si>
    <t>Tax / N.I.</t>
  </si>
  <si>
    <t>Net salary</t>
  </si>
  <si>
    <t>Less tax</t>
  </si>
  <si>
    <t>Net dividends</t>
  </si>
  <si>
    <t>Total Income</t>
  </si>
  <si>
    <t>Adult occupant check against Income tab</t>
  </si>
  <si>
    <t>1st Applicant</t>
  </si>
  <si>
    <t>2nd Applicant</t>
  </si>
  <si>
    <t>Income tab total</t>
  </si>
  <si>
    <t>Adults Household size</t>
  </si>
  <si>
    <t>ONS DATA</t>
  </si>
  <si>
    <t>Above state retirement age?</t>
  </si>
  <si>
    <t xml:space="preserve">Applicant 1 </t>
  </si>
  <si>
    <t xml:space="preserve">*Below the state retirement age </t>
  </si>
  <si>
    <t>BTL Rental Income (3 or more properties)</t>
  </si>
  <si>
    <t>Regular mortgage / rent allowance</t>
  </si>
  <si>
    <t>BTL Rental Income (2 or less properties)</t>
  </si>
  <si>
    <t>Taken from ONS table A23 - UK, financial year ending 2018 - corrected table</t>
  </si>
  <si>
    <t>Family member 1</t>
  </si>
  <si>
    <t>Family member 2</t>
  </si>
  <si>
    <t>Less Expenditure</t>
  </si>
  <si>
    <t>CUSTOMER'S PERSONAL INCOME &amp; EXPENDITURE ANNUAL BUDGET SUMMARY</t>
  </si>
  <si>
    <t>NOT SURE IF USED!!!</t>
  </si>
  <si>
    <t>Combined 90% Disposable Income</t>
  </si>
  <si>
    <t>Ability to support stressed CMS on customer(s) income and/or family member(s) income</t>
  </si>
  <si>
    <t>Stressed Loan responsibilities requirements</t>
  </si>
  <si>
    <r>
      <rPr>
        <b/>
        <sz val="10"/>
        <rFont val="Tahoma"/>
        <family val="2"/>
      </rPr>
      <t>Customer(s)</t>
    </r>
    <r>
      <rPr>
        <sz val="10"/>
        <rFont val="Tahoma"/>
        <family val="2"/>
      </rPr>
      <t xml:space="preserve"> - based on the stress rate the customer(s) can afford this commitment </t>
    </r>
  </si>
  <si>
    <t>Gross annual income for all Family members</t>
  </si>
  <si>
    <t>*Is either Family member aged 80 or over?</t>
  </si>
  <si>
    <t>CUSTOMER(S) / FAMILY MEMBER(S) RESPONSIBILITIES SPLIT</t>
  </si>
  <si>
    <t>Annual Increment</t>
  </si>
  <si>
    <t xml:space="preserve">Stressed I.O. mortgage payment </t>
  </si>
  <si>
    <t xml:space="preserve">Stressed cap. Rep. monthly r/p </t>
  </si>
  <si>
    <t>Monthly Capital Repayment</t>
  </si>
  <si>
    <t>Advance amount</t>
  </si>
  <si>
    <t>Product rate</t>
  </si>
  <si>
    <t>Current</t>
  </si>
  <si>
    <t>Projected mortgage balance</t>
  </si>
  <si>
    <t>Projected Income multiple</t>
  </si>
  <si>
    <t>Divided by available Family member(s) income</t>
  </si>
  <si>
    <t xml:space="preserve">Family member(s) income multiple </t>
  </si>
  <si>
    <t>years</t>
  </si>
  <si>
    <t>Preferred monthly capital repayment:</t>
  </si>
  <si>
    <t>Approximate mortgage term:</t>
  </si>
  <si>
    <t>Enter years:</t>
  </si>
  <si>
    <t>Projected future mortage balance:</t>
  </si>
  <si>
    <t>Projected Income Multiple:</t>
  </si>
  <si>
    <t>N.B. This can be used to calculate the customer(s) projected future Income Multiple.</t>
  </si>
  <si>
    <r>
      <rPr>
        <b/>
        <sz val="10"/>
        <rFont val="Tahoma"/>
        <family val="2"/>
      </rPr>
      <t>Family member</t>
    </r>
    <r>
      <rPr>
        <sz val="10"/>
        <rFont val="Tahoma"/>
        <family val="2"/>
      </rPr>
      <t xml:space="preserve"> - required to provide a guarantee for the stressed shortfall</t>
    </r>
  </si>
  <si>
    <t>Projected loan reduction on Capital repayment basis &amp; Projected Income Multiple</t>
  </si>
  <si>
    <t>Total mortgage commitment for the stressed payment</t>
  </si>
  <si>
    <t xml:space="preserve">Loan responsibility requirements for the stressed monthly repayment </t>
  </si>
  <si>
    <t>Projected Customer Future Income Multiple Calculator</t>
  </si>
  <si>
    <t>Projected income, 2% p.a. increment:</t>
  </si>
  <si>
    <t>Overpayment calculator</t>
  </si>
  <si>
    <t>Enter the customer's preferred mortgage payment to determine how this will affect the mortgage term.</t>
  </si>
  <si>
    <t>Income multiple applied:</t>
  </si>
  <si>
    <t>Incorrect approx. term formuals</t>
  </si>
  <si>
    <t>No. months</t>
  </si>
  <si>
    <t>NOT USED IN THIS CALCULATOR</t>
  </si>
  <si>
    <t>PASS</t>
  </si>
  <si>
    <t>FAIL</t>
  </si>
  <si>
    <t>Cap. Rep. basis</t>
  </si>
  <si>
    <t>Int. only basis</t>
  </si>
  <si>
    <t>The mortgage balance is projected to be less than 4.5 x customer's income in approximtely:</t>
  </si>
  <si>
    <t>Monthly CMS at stress rate:</t>
  </si>
  <si>
    <t xml:space="preserve">Combined percentage coverage at stress rate: </t>
  </si>
  <si>
    <t>Monthly Commiitted Expenditure</t>
  </si>
  <si>
    <t>Loans &amp; Hire Purchase payments</t>
  </si>
  <si>
    <t>Income multiple</t>
  </si>
  <si>
    <t>Maximum loan available</t>
  </si>
  <si>
    <t>Annual stressed mortgage commitment</t>
  </si>
  <si>
    <t>Stressed CMS rate (+1%)</t>
  </si>
  <si>
    <t>Stressed CMS</t>
  </si>
  <si>
    <t>% Customer can afford</t>
  </si>
  <si>
    <t>(4 times Customer Income Multiple)</t>
  </si>
  <si>
    <t>Approx mortgage payment</t>
  </si>
  <si>
    <t>Max loan we can consider</t>
  </si>
  <si>
    <t>Income Multiple</t>
  </si>
  <si>
    <t>N.B. Not used in this calc???</t>
  </si>
  <si>
    <t>90% Combined Disposable Income</t>
  </si>
  <si>
    <t>Mortagage Term</t>
  </si>
  <si>
    <t>Stressed Mortgage Rate</t>
  </si>
  <si>
    <t>Loan Available based on Affordabilty</t>
  </si>
  <si>
    <t>Affordable loan</t>
  </si>
  <si>
    <t>Gross Income, less expd.</t>
  </si>
  <si>
    <t>Actual Income multiple</t>
  </si>
  <si>
    <t>(Total annual expenditure, incl. loans, etc.)</t>
  </si>
  <si>
    <t>FAMILY MEMBER'S PERSONAL INCOME  SUMMARY</t>
  </si>
  <si>
    <t>(Total expenditure incl. loans, etc.)</t>
  </si>
  <si>
    <t>HOUSEHOLD SIZE - Complete on Quick Calculator</t>
  </si>
  <si>
    <t>*Is either Applicant above state retirement age? - see Quick Calculator</t>
  </si>
  <si>
    <t>*Is either Family member above state retirement age? - see Quick Calculator</t>
  </si>
  <si>
    <t>Household characteristics</t>
  </si>
  <si>
    <t>Stress Rate</t>
  </si>
  <si>
    <t>Total  Income (all applicants)</t>
  </si>
  <si>
    <t>Disposable Income</t>
  </si>
  <si>
    <t>Less total expenditure &amp; ONS figures</t>
  </si>
  <si>
    <t>Annual ONS figures</t>
  </si>
  <si>
    <t>Family member(s) - 90% disposable  income</t>
  </si>
  <si>
    <t>Mortgage Term</t>
  </si>
  <si>
    <t>(Rounded down to nearest £1000)</t>
  </si>
  <si>
    <t>90% FAMILY MEMBER'S PERSONAL INCOME SUMMARY</t>
  </si>
  <si>
    <t>Family member 1 Retired</t>
  </si>
  <si>
    <t>Family member 2 Retired</t>
  </si>
  <si>
    <t xml:space="preserve">Family member 1 - 80 or over </t>
  </si>
  <si>
    <t>Family member 2 - 80 or over</t>
  </si>
  <si>
    <t>IMPORTANT - Please ensure the number of adults agrees with the Income tab and that retirement statuses have been changed.</t>
  </si>
  <si>
    <t>LOAN DETAILS</t>
  </si>
  <si>
    <t>Outcome</t>
  </si>
  <si>
    <t>The following formulas, etc. are not currently used in this calculator;</t>
  </si>
  <si>
    <t>Applicant's Annual Commited Expenditure</t>
  </si>
  <si>
    <t>Actual Combined Income Multiple Calculator</t>
  </si>
  <si>
    <t>Not used;</t>
  </si>
  <si>
    <t>APPLICANT'S NAME(S)</t>
  </si>
  <si>
    <t>The following calculation shows the maximum shortfall the Family member(s) would be able to support based on Income multiples;</t>
  </si>
  <si>
    <t xml:space="preserve">Maximum loan available </t>
  </si>
  <si>
    <t>*FOR FULL DETAILS PLEASE SEE THE APPLICANT AFFORDABILITY TAB.</t>
  </si>
  <si>
    <t>The following calculation shows the maximum shortfall the Family member's can support based on Income multiples</t>
  </si>
  <si>
    <t>(Not used in this calculator)</t>
  </si>
  <si>
    <t>Current SVR</t>
  </si>
  <si>
    <t>Interest-only CMS</t>
  </si>
  <si>
    <t>Rept CMS</t>
  </si>
  <si>
    <t>IO Stress CMS</t>
  </si>
  <si>
    <t>Rep Stress CMS</t>
  </si>
  <si>
    <t>Repayment</t>
  </si>
  <si>
    <t>Capital Repayment CMS calculation - product rate</t>
  </si>
  <si>
    <t>Capital Repayment CMS calculation - stressed rate</t>
  </si>
  <si>
    <t>Other Guaranteed Income</t>
  </si>
  <si>
    <t>Leasehold charges</t>
  </si>
  <si>
    <t>Please enter the tax code if known</t>
  </si>
  <si>
    <t>Tax Code Number</t>
  </si>
  <si>
    <t>Other non-taxable income</t>
  </si>
  <si>
    <t>Income details</t>
  </si>
  <si>
    <t>Other non-taxable deductions</t>
  </si>
  <si>
    <t>(Annual Committed Expenditure)</t>
  </si>
  <si>
    <t>BROKER NAME</t>
  </si>
  <si>
    <t>SVR</t>
  </si>
  <si>
    <t>Pension Income</t>
  </si>
  <si>
    <t>Years</t>
  </si>
  <si>
    <t>Other Non-guaranteed income - 50% will be used</t>
  </si>
  <si>
    <t>Court Agreed Child Maintenance payments</t>
  </si>
  <si>
    <t>IMPORTANT - Amend the income frequency as required.</t>
  </si>
  <si>
    <t>Not used</t>
  </si>
  <si>
    <t>Gross annual income for all family members</t>
  </si>
  <si>
    <t>&lt;&lt;&lt;&lt; correct but includes lots of empty cells)</t>
  </si>
  <si>
    <t>Correct</t>
  </si>
  <si>
    <t>&lt;&lt;&lt;&lt;Correct</t>
  </si>
  <si>
    <t>&lt;&lt;correct</t>
  </si>
  <si>
    <t>(Correct)</t>
  </si>
  <si>
    <t>Plus deductions after tax</t>
  </si>
  <si>
    <t>(Total Income)</t>
  </si>
  <si>
    <t>Approx. mortgage balance</t>
  </si>
  <si>
    <t>Loan requirements</t>
  </si>
  <si>
    <t>Capital Repayment</t>
  </si>
  <si>
    <t>Interest Only</t>
  </si>
  <si>
    <t>Capital Repayment amount</t>
  </si>
  <si>
    <t>Interest Only amount</t>
  </si>
  <si>
    <t>Total Loan</t>
  </si>
  <si>
    <t>Mortgage term</t>
  </si>
  <si>
    <t>Per month</t>
  </si>
  <si>
    <t>Per annum</t>
  </si>
  <si>
    <t>Int. only loan</t>
  </si>
  <si>
    <t>Please choose the loan type from drop-down list</t>
  </si>
  <si>
    <t>Capital Repayment Loan calculator based on combined affordability</t>
  </si>
  <si>
    <t>Maximum Cap. Rep. Loan based on combined affordability using ONS data</t>
  </si>
  <si>
    <t>(Rounded down to nearest £10)</t>
  </si>
  <si>
    <t>Maximum Interest-only Loan based on combined affordability using ONS data</t>
  </si>
  <si>
    <t>Stress value</t>
  </si>
  <si>
    <t>Interest-only Loan Available based on Affordabilty</t>
  </si>
  <si>
    <t>Interest-only element</t>
  </si>
  <si>
    <t>Part &amp; Part calculator based on affordability</t>
  </si>
  <si>
    <t xml:space="preserve">Remaining free income </t>
  </si>
  <si>
    <t>(Rounded down to nearest £100)</t>
  </si>
  <si>
    <t>(Rounded down to nearest £50)</t>
  </si>
  <si>
    <t>Interest-only payment</t>
  </si>
  <si>
    <t>Less 10% of Interest Only element</t>
  </si>
  <si>
    <t>Max available before 10% Int-only deducted</t>
  </si>
  <si>
    <t>Combined coverage</t>
  </si>
  <si>
    <t>Max Cap Rep element available (Part &amp; Part)</t>
  </si>
  <si>
    <t>Years until within 4.5 x Projected Income on capital repayment</t>
  </si>
  <si>
    <t>Projected loan reduction on Interest-only basis &amp; Projected Income Multiple</t>
  </si>
  <si>
    <t>Years until within 4.5 x Projected Income on Interest-only</t>
  </si>
  <si>
    <t>Multiple</t>
  </si>
  <si>
    <t>Years until within 4.5 x Projected Income on Part &amp; Part</t>
  </si>
  <si>
    <t>Cap. Rep.</t>
  </si>
  <si>
    <t>Int-Only</t>
  </si>
  <si>
    <t>Maximum Loan we can consider</t>
  </si>
  <si>
    <t>Total Part &amp; Part Loan we can consider</t>
  </si>
  <si>
    <t>Please complete the Capital repayment amount required</t>
  </si>
  <si>
    <t>Please complete the Interest-only amount required</t>
  </si>
  <si>
    <t>Affordability</t>
  </si>
  <si>
    <t>(Annual expenditure, not including committed)</t>
  </si>
  <si>
    <t>Maximum loan</t>
  </si>
  <si>
    <t>IMPORTANT - Please ensure the number of adults agrees with the Quick calculator tab and that retirement statuses have been changed.</t>
  </si>
  <si>
    <t>Future affordability calculator</t>
  </si>
  <si>
    <t>Planned retirement age</t>
  </si>
  <si>
    <t>Current age</t>
  </si>
  <si>
    <t xml:space="preserve">Applicant 2 </t>
  </si>
  <si>
    <t xml:space="preserve">Family member 1 </t>
  </si>
  <si>
    <t>Planned retire</t>
  </si>
  <si>
    <t>Yrs till retire</t>
  </si>
  <si>
    <t>Yrs till 85</t>
  </si>
  <si>
    <t>Mortality age</t>
  </si>
  <si>
    <t>Future Retirement Income</t>
  </si>
  <si>
    <t>Loan type</t>
  </si>
  <si>
    <t>Retire Income</t>
  </si>
  <si>
    <t>Income used</t>
  </si>
  <si>
    <t>Current Income</t>
  </si>
  <si>
    <t xml:space="preserve">Family member 2 </t>
  </si>
  <si>
    <t>Incremental 2%</t>
  </si>
  <si>
    <t xml:space="preserve">Combined </t>
  </si>
  <si>
    <t>Future</t>
  </si>
  <si>
    <t xml:space="preserve">Income </t>
  </si>
  <si>
    <t>2nd Review - Mortality</t>
  </si>
  <si>
    <t>Capital Rep.</t>
  </si>
  <si>
    <t>Applicant 1 years to retirement</t>
  </si>
  <si>
    <t>Applicant 1 years till age 85</t>
  </si>
  <si>
    <t>Family member 1 years to retirement</t>
  </si>
  <si>
    <t>Family member 1 years till age 85</t>
  </si>
  <si>
    <t>Years till review</t>
  </si>
  <si>
    <t>Maximum loan cap</t>
  </si>
  <si>
    <t>Test&gt;&gt;&gt;&gt;&gt;</t>
  </si>
  <si>
    <t>Part &amp; Part max based on multiples</t>
  </si>
  <si>
    <t>Capital repayment element</t>
  </si>
  <si>
    <t>Total loan</t>
  </si>
  <si>
    <t>Stressed Interest-only payment</t>
  </si>
  <si>
    <t>Stressed Capital repayment</t>
  </si>
  <si>
    <t>Total stressed CMS</t>
  </si>
  <si>
    <t xml:space="preserve">Capital Repayment CMS calculation for Part &amp; Part - stressed rate (based on Income multiples) </t>
  </si>
  <si>
    <t>Part &amp; Part Capital repayment element we can consider</t>
  </si>
  <si>
    <t>Capital repayment basis</t>
  </si>
  <si>
    <t>Repayment type selected</t>
  </si>
  <si>
    <t>Projected loan reduction on Part &amp; Part basis &amp; Projected Income Multiple</t>
  </si>
  <si>
    <t>Utilities including Gas, Electricity &amp; Water</t>
  </si>
  <si>
    <t>Broker Name</t>
  </si>
  <si>
    <t>Coverage</t>
  </si>
  <si>
    <t>Coverage of Repayment type chosen</t>
  </si>
  <si>
    <t>Status</t>
  </si>
  <si>
    <t>First retirement</t>
  </si>
  <si>
    <t>First to reach 85</t>
  </si>
  <si>
    <t>Product limit</t>
  </si>
  <si>
    <t>Vs. Multiple / Product limit</t>
  </si>
  <si>
    <t>Multiples / Product criteria</t>
  </si>
  <si>
    <t>(Max. based on multiples / product limit)</t>
  </si>
  <si>
    <t>Maximum loan available based on Income Multiples / Product Criteria</t>
  </si>
  <si>
    <r>
      <t xml:space="preserve">(lower of 4.5 combined x 25% </t>
    </r>
    <r>
      <rPr>
        <b/>
        <u/>
        <sz val="10"/>
        <rFont val="Tahoma"/>
        <family val="2"/>
      </rPr>
      <t>or</t>
    </r>
    <r>
      <rPr>
        <sz val="10"/>
        <rFont val="Tahoma"/>
        <family val="2"/>
      </rPr>
      <t xml:space="preserve"> 4.5 x Customer multiple)</t>
    </r>
  </si>
  <si>
    <t>ok</t>
  </si>
  <si>
    <t>Vs. Multiple / Product criteria</t>
  </si>
  <si>
    <t>Max. Multiple / Product criteria</t>
  </si>
  <si>
    <t>Applicant 1 &amp; 2</t>
  </si>
  <si>
    <t>Projected 2% p.a.</t>
  </si>
  <si>
    <t>Family 1</t>
  </si>
  <si>
    <t>Family 2</t>
  </si>
  <si>
    <t>(Future afford.)</t>
  </si>
  <si>
    <t>Family no. 1</t>
  </si>
  <si>
    <t>Family no. 2</t>
  </si>
  <si>
    <t xml:space="preserve">Applicants </t>
  </si>
  <si>
    <t>House exp.</t>
  </si>
  <si>
    <t xml:space="preserve">Family </t>
  </si>
  <si>
    <t>Current mthly</t>
  </si>
  <si>
    <t>Combine mthly</t>
  </si>
  <si>
    <t>Income</t>
  </si>
  <si>
    <t>Net Income</t>
  </si>
  <si>
    <t>Mthly stressed</t>
  </si>
  <si>
    <t>Payment</t>
  </si>
  <si>
    <t>Retirement</t>
  </si>
  <si>
    <t>Mortality</t>
  </si>
  <si>
    <t>Family</t>
  </si>
  <si>
    <t>Mortality - 85</t>
  </si>
  <si>
    <t>Lowest</t>
  </si>
  <si>
    <t>Actual Repayment Method Applied</t>
  </si>
  <si>
    <t>Plus Months</t>
  </si>
  <si>
    <t>Mortg. Bal.</t>
  </si>
  <si>
    <t xml:space="preserve">Yrs till within 4.5 times </t>
  </si>
  <si>
    <t>First review</t>
  </si>
  <si>
    <t>Combined income</t>
  </si>
  <si>
    <t>Second review</t>
  </si>
  <si>
    <t>At 2nd review</t>
  </si>
  <si>
    <t>Retirement multiple</t>
  </si>
  <si>
    <t>Income First</t>
  </si>
  <si>
    <t>Occupier</t>
  </si>
  <si>
    <t>Income Second</t>
  </si>
  <si>
    <t>Combined Occupier</t>
  </si>
  <si>
    <t>Cap. Rep affordable by</t>
  </si>
  <si>
    <t>Interest-only affordable by</t>
  </si>
  <si>
    <t>Part &amp; Part affordable by</t>
  </si>
  <si>
    <t>Repayment type: affordablity if occupants retire during term</t>
  </si>
  <si>
    <t>OK??????</t>
  </si>
  <si>
    <t>One or both owner occupiers plan to retire during the mortgage term</t>
  </si>
  <si>
    <t>Neither owner occupiers plan to retire before the mortgage term ends</t>
  </si>
  <si>
    <t>Please indicate loan type:</t>
  </si>
  <si>
    <t>ANNUAL Anticipated retirement income</t>
  </si>
  <si>
    <t>Actual loan type &amp; maximum loan we can consider</t>
  </si>
  <si>
    <t>Mortality coverage</t>
  </si>
  <si>
    <t>Mortality Review (formulas below)</t>
  </si>
  <si>
    <t>Formulas below</t>
  </si>
  <si>
    <t>Occupying borrower 1</t>
  </si>
  <si>
    <t>Supporting borrower 1</t>
  </si>
  <si>
    <t>Supporting borrower 2</t>
  </si>
  <si>
    <t>Occupying borrower's household size</t>
  </si>
  <si>
    <t>Supporting borrower's household size</t>
  </si>
  <si>
    <t>Is either occupier above state retirement age?</t>
  </si>
  <si>
    <t>Is either supporter above state retirement age?</t>
  </si>
  <si>
    <t xml:space="preserve">*One or both supporting borrowers are above the state retirement age </t>
  </si>
  <si>
    <t>SUPPORTING BORROWER AFFORDABILITY CHECK</t>
  </si>
  <si>
    <t>*One or both occupying borrowers are above the state retirement age</t>
  </si>
  <si>
    <t>SUPPORTING BORROWER'S INCOME</t>
  </si>
  <si>
    <t>Borr. 1</t>
  </si>
  <si>
    <t>Borr. 2</t>
  </si>
  <si>
    <t>Supp. Borrowers Credit card balances</t>
  </si>
  <si>
    <t>Occupying borrowers Credit card balances</t>
  </si>
  <si>
    <t>Supporting borrower's own mortgage payment*</t>
  </si>
  <si>
    <t>THE OCCUPYING BORROWER(S) MUST BE ABLE TO AFFORD 25% OF THE LOAN BASED ON INCOME MULTIPLES &amp; MEET AFFORDABILTY</t>
  </si>
  <si>
    <t>Occupiers Total Annual Income</t>
  </si>
  <si>
    <t>Occupiers Monthly ONS Data for Affordability assessment</t>
  </si>
  <si>
    <t>Occupying Borrower Maximum Income Multiple</t>
  </si>
  <si>
    <t>Support 1 inc.</t>
  </si>
  <si>
    <t>Support 2 Inc.</t>
  </si>
  <si>
    <t>Supporting Borrowers Total Annual Income</t>
  </si>
  <si>
    <t>Supporting Borrowers Monthly ONS Data for Affordability assessment</t>
  </si>
  <si>
    <t>Supporting borrower's mortgage commitment calculator</t>
  </si>
  <si>
    <t>Supporting Borrower's Annual Commited Expenditure</t>
  </si>
  <si>
    <t>(Stressed Supp. Borrower CMS)</t>
  </si>
  <si>
    <t>Total Maximum Income Multiple for occupant(s) &amp; support borrower(s)</t>
  </si>
  <si>
    <t>Maximum loan available based on Occupying borrower Income Multiple</t>
  </si>
  <si>
    <t xml:space="preserve">Supporting borrower's own Mtg. Int. Rate </t>
  </si>
  <si>
    <t>OCCUPYING BORROWER'S PERSONAL INCOME &amp; EXPENDITURE ANNUAL BUDGET SUMMARY</t>
  </si>
  <si>
    <t>SUPPORTING BORRIOWER'S PERSONAL INCOME  SUMMARY</t>
  </si>
  <si>
    <t>SUPPORTING BORROWER NAME(S)</t>
  </si>
  <si>
    <t>OCCUPYING BORROWER AFFORDABILITY CHECK</t>
  </si>
  <si>
    <r>
      <rPr>
        <b/>
        <sz val="10"/>
        <rFont val="Tahoma"/>
        <family val="2"/>
      </rPr>
      <t>Support borrower(s)</t>
    </r>
    <r>
      <rPr>
        <sz val="10"/>
        <rFont val="Tahoma"/>
        <family val="2"/>
      </rPr>
      <t xml:space="preserve"> - 90% of Net disposable  income</t>
    </r>
  </si>
  <si>
    <t>Occupying borrower 2</t>
  </si>
  <si>
    <t>Current Affordability</t>
  </si>
  <si>
    <t>Years till retire if "0"</t>
  </si>
  <si>
    <t>Occupying borrrower 1</t>
  </si>
  <si>
    <t>Occupying borrrower 2</t>
  </si>
  <si>
    <t>Future Affordability - retirement</t>
  </si>
  <si>
    <t>Mortality Review</t>
  </si>
  <si>
    <t>(Ignore "0")</t>
  </si>
  <si>
    <t>Retirement - worst coverage</t>
  </si>
  <si>
    <t xml:space="preserve">Occupier 1 </t>
  </si>
  <si>
    <t xml:space="preserve">Occupier 2 </t>
  </si>
  <si>
    <t xml:space="preserve">Supporter 1 </t>
  </si>
  <si>
    <t xml:space="preserve">Supporter 2 </t>
  </si>
  <si>
    <t>Input cells are in yellow</t>
  </si>
  <si>
    <t>REVIEW</t>
  </si>
  <si>
    <t>Use ONS figures?</t>
  </si>
  <si>
    <t>Supp. 1</t>
  </si>
  <si>
    <t>Supp. 2</t>
  </si>
  <si>
    <t>If less than 0 calc</t>
  </si>
  <si>
    <t>IMPORTANT - THE MORTAGE TERM MUST BE COMPLETED FIRST</t>
  </si>
  <si>
    <t>Please complete the Interest-only element first followed by the repayment element</t>
  </si>
  <si>
    <t>Supporting borrower's own mortgage commitments</t>
  </si>
  <si>
    <t>Select repayment type below</t>
  </si>
  <si>
    <t>Approx. term remaining in years</t>
  </si>
  <si>
    <t>Purchase Price / Estimated Value</t>
  </si>
  <si>
    <t>LTV</t>
  </si>
  <si>
    <t>Not applicable</t>
  </si>
  <si>
    <t>Support borrower 1</t>
  </si>
  <si>
    <t>Support borrower 2</t>
  </si>
  <si>
    <t>Occupy borrower 1</t>
  </si>
  <si>
    <t>Occupy borrower 2</t>
  </si>
  <si>
    <t>Actual travel costs</t>
  </si>
  <si>
    <t>ONS travel costs if selected</t>
  </si>
  <si>
    <t>Travel Overide calculations</t>
  </si>
  <si>
    <t>Typical monthly shopping costs</t>
  </si>
  <si>
    <t>LTV - net of deposits</t>
  </si>
  <si>
    <t>Deposit type</t>
  </si>
  <si>
    <t>Traditional</t>
  </si>
  <si>
    <t>Cash security</t>
  </si>
  <si>
    <t>Collateral</t>
  </si>
  <si>
    <t>Average retention rate:</t>
  </si>
  <si>
    <t>Conditional formatting rule</t>
  </si>
  <si>
    <t>The occupying borrower(s) are estimated to be able to support the loan without the supporting borrowers in approximately</t>
  </si>
  <si>
    <t>The occupying borrowers are estimated to be able to afford the mortgage on their sole incomes in approximately xx years subject to a full affordability assessment and lending criteria at the time</t>
  </si>
  <si>
    <t>Affordability to occupiers only based on Income multiples</t>
  </si>
  <si>
    <t>Retirement age</t>
  </si>
  <si>
    <t>Support 1</t>
  </si>
  <si>
    <t>Support 2</t>
  </si>
  <si>
    <t>Occupier 1</t>
  </si>
  <si>
    <t>Occupier 2</t>
  </si>
  <si>
    <t>Years till 85</t>
  </si>
  <si>
    <t>All borrowers income multiples</t>
  </si>
  <si>
    <t>Till retire</t>
  </si>
  <si>
    <t>Till 85</t>
  </si>
  <si>
    <t>All borrowers projected income</t>
  </si>
  <si>
    <t>Projected income</t>
  </si>
  <si>
    <t>Retirement Income</t>
  </si>
  <si>
    <t>Earned Income</t>
  </si>
  <si>
    <t>at retirement</t>
  </si>
  <si>
    <t xml:space="preserve">Income used </t>
  </si>
  <si>
    <t>at 85</t>
  </si>
  <si>
    <t>Int only amount</t>
  </si>
  <si>
    <t>Projected mtg. bal.</t>
  </si>
  <si>
    <t>earned income</t>
  </si>
  <si>
    <t>retirement Income</t>
  </si>
  <si>
    <t>Projected balance</t>
  </si>
  <si>
    <t>Occupying borrowers only</t>
  </si>
  <si>
    <t>Below entered 11th October 2021</t>
  </si>
  <si>
    <t>Removed from view 11th October 2021</t>
  </si>
  <si>
    <t>N.B. RESULTS ARE PARTLY BASED ON OFFICE OF NATIONAL STATISTICS DATA &amp; MAY CHANGE WHEN THE AFFORDABILITY ASSESSMENT IS COMPLETED</t>
  </si>
  <si>
    <t>(Capital repayment)</t>
  </si>
  <si>
    <t>(Interest-only)</t>
  </si>
  <si>
    <t>(Part &amp; Part)</t>
  </si>
  <si>
    <t>Earliest retirement</t>
  </si>
  <si>
    <t>Combined</t>
  </si>
  <si>
    <t>monthly income</t>
  </si>
  <si>
    <t>Annual Income</t>
  </si>
  <si>
    <t>Occupier's sole income</t>
  </si>
  <si>
    <t>*Anticipated affordability to all borrowers at retirement</t>
  </si>
  <si>
    <t>*Affordability when supporting borrower(s) reach 85</t>
  </si>
  <si>
    <t>*IMPORTANT - The estimated future affordability checks assumes the lowest points of affordability during the mortgage term.</t>
  </si>
  <si>
    <t>Following removed from view 22nd March 2022;</t>
  </si>
  <si>
    <t>Supporting borrower(s) 70 or over at start of mortgage</t>
  </si>
  <si>
    <t>Occupying borrowers years until age 70</t>
  </si>
  <si>
    <t>Supporting borrower(s) under age of 70</t>
  </si>
  <si>
    <t>Occupying borrower(s) will remain under the age of 70 throughout the mortgage term</t>
  </si>
  <si>
    <t>LENDING INTO RETIREMENT REQUIREMENTS</t>
  </si>
  <si>
    <t>Total Deposit</t>
  </si>
  <si>
    <t>Max. loan permitted</t>
  </si>
  <si>
    <t>Current LTV</t>
  </si>
  <si>
    <t>Projected Customer Annual Income net of tax &amp; N.I. &amp; Mortgage Balance Calculations</t>
  </si>
  <si>
    <t>Annual Income net of tax &amp; N.I.</t>
  </si>
  <si>
    <t>Projected Net Income  @ 2% P.A.</t>
  </si>
  <si>
    <t>Family member's current income net of tax</t>
  </si>
  <si>
    <t>Gross Income Both family members</t>
  </si>
  <si>
    <t>Current Income net of tax &amp; N.I.</t>
  </si>
  <si>
    <t>Net of tax &amp; N.I.</t>
  </si>
  <si>
    <t>Personal allowance</t>
  </si>
  <si>
    <t>Tax free dividends</t>
  </si>
  <si>
    <t>Personal allowance reduction</t>
  </si>
  <si>
    <t>Applicable Personal Allowance</t>
  </si>
  <si>
    <t>Allowance is zero from</t>
  </si>
  <si>
    <t>Salary tax calculation</t>
  </si>
  <si>
    <t>Dividend tax calculation</t>
  </si>
  <si>
    <t>Dividend allowance</t>
  </si>
  <si>
    <t>*Own mortgage payment stressed</t>
  </si>
  <si>
    <t>Stressed repayment - supporter (correct PMT calculation)</t>
  </si>
  <si>
    <t>Cap R/p CMS</t>
  </si>
  <si>
    <t>Reversion CMS</t>
  </si>
  <si>
    <t>Bal at reversion</t>
  </si>
  <si>
    <t>SVR rate</t>
  </si>
  <si>
    <t>SVR /Term Discount Calc.</t>
  </si>
  <si>
    <t>Stress R/p CMS</t>
  </si>
  <si>
    <t>Product CMS</t>
  </si>
  <si>
    <t>Loan Term in Years</t>
  </si>
  <si>
    <t>SVR for statement</t>
  </si>
  <si>
    <t>STRESSED PAYMENT(S)</t>
  </si>
  <si>
    <t>I.O. element</t>
  </si>
  <si>
    <t>CURRENT SVR</t>
  </si>
  <si>
    <t>OCCUPYING BORROWER'S INCOME</t>
  </si>
  <si>
    <t>IMPORTANT - for new borrowing enter the Capital Repayment amount on top row, Interest-only amount on the second row &amp; Part and Part on both rows</t>
  </si>
  <si>
    <t>Stressed mortgage commitment at SVR plus 1%</t>
  </si>
  <si>
    <t>2nd COPY BEING WORKED ON</t>
  </si>
  <si>
    <t>&lt;&lt;Not used</t>
  </si>
  <si>
    <t>&lt;&lt;&lt;Amended</t>
  </si>
  <si>
    <t>Benefits / Maintenance (evidence required) - 100%</t>
  </si>
  <si>
    <r>
      <t xml:space="preserve">Benefits / Maintenance (evidence required) - </t>
    </r>
    <r>
      <rPr>
        <b/>
        <sz val="10"/>
        <rFont val="Tahoma"/>
        <family val="2"/>
      </rPr>
      <t>100%</t>
    </r>
  </si>
  <si>
    <r>
      <t xml:space="preserve">Benefits / Maintenance (evidence required)  - </t>
    </r>
    <r>
      <rPr>
        <b/>
        <sz val="10"/>
        <rFont val="Tahoma"/>
        <family val="2"/>
      </rPr>
      <t>50%</t>
    </r>
  </si>
  <si>
    <t>Non-taxable income received - benefits / maintenance</t>
  </si>
  <si>
    <t>Benefits / Maintenance (evidence required) - 50%</t>
  </si>
  <si>
    <t>(Benefits / Maintenance 100%)</t>
  </si>
  <si>
    <t>(Benefits / Maintenance 50%)</t>
  </si>
  <si>
    <t>Benefit</t>
  </si>
  <si>
    <t>% Assessable</t>
  </si>
  <si>
    <t>Universal Credit (UC)</t>
  </si>
  <si>
    <t>Constant Attendance Allowance (CAA)</t>
  </si>
  <si>
    <t>Job Seekers Allowance (JSA)</t>
  </si>
  <si>
    <t>Working Tax Credit (WTC)</t>
  </si>
  <si>
    <t>Disability Living Allowance (DLA)</t>
  </si>
  <si>
    <t>Child Tax Credit (CTC)</t>
  </si>
  <si>
    <t>Pension Credit (PC)</t>
  </si>
  <si>
    <t>Personal independence Payment (PIP)</t>
  </si>
  <si>
    <t>Adult Disability Payment (ADP)</t>
  </si>
  <si>
    <t>Employment &amp; Support Allowance (ESA)</t>
  </si>
  <si>
    <t>Carers Allowance (CA)</t>
  </si>
  <si>
    <t>Attendance Allowance (AA)</t>
  </si>
  <si>
    <t>Child Disability (CD)</t>
  </si>
  <si>
    <t>Maintenance if by court order - 2 years minimum</t>
  </si>
  <si>
    <t>Maintenance if NOT by court order - 2 years minimum</t>
  </si>
  <si>
    <t>&lt;&lt;&lt;Adjusted 29.12.23</t>
  </si>
  <si>
    <t>SVR increased from 7.49% to 7.94% - 15th March 2024</t>
  </si>
  <si>
    <t>N.I. rate changed 06 April 2024</t>
  </si>
  <si>
    <t>TAX YEAR 2024/25</t>
  </si>
  <si>
    <t>Tax Year 2024 / 2025</t>
  </si>
  <si>
    <t>Tax Year 2024/2025</t>
  </si>
  <si>
    <t>Tax Year 2024/25</t>
  </si>
  <si>
    <t>New Calculations from 06/04/2024</t>
  </si>
  <si>
    <t>TAX YEAR 2024/2025</t>
  </si>
  <si>
    <t>Retired households</t>
  </si>
  <si>
    <t>Retired and non-retired households</t>
  </si>
  <si>
    <t>Retired Households</t>
  </si>
  <si>
    <t>Non-Retired</t>
  </si>
  <si>
    <t>Number of retired adults</t>
  </si>
  <si>
    <t>Family base rate</t>
  </si>
  <si>
    <t>Non-Retired households</t>
  </si>
  <si>
    <t>Table A23</t>
  </si>
  <si>
    <t>State pension</t>
  </si>
  <si>
    <t>Other retired</t>
  </si>
  <si>
    <t>One adult</t>
  </si>
  <si>
    <t>Two adults</t>
  </si>
  <si>
    <t>Three or more adults</t>
  </si>
  <si>
    <t>Adult base rate</t>
  </si>
  <si>
    <t>Per adult rate</t>
  </si>
  <si>
    <t>Per child rate</t>
  </si>
  <si>
    <t>Expenditure by household composition</t>
  </si>
  <si>
    <t>One</t>
  </si>
  <si>
    <t xml:space="preserve">Two </t>
  </si>
  <si>
    <t>Two</t>
  </si>
  <si>
    <t>with</t>
  </si>
  <si>
    <t>without</t>
  </si>
  <si>
    <t>UK, financial year ending 2022</t>
  </si>
  <si>
    <t>person</t>
  </si>
  <si>
    <t>adults</t>
  </si>
  <si>
    <t>one</t>
  </si>
  <si>
    <t>two</t>
  </si>
  <si>
    <t>three</t>
  </si>
  <si>
    <t>children</t>
  </si>
  <si>
    <t>child</t>
  </si>
  <si>
    <t>or more</t>
  </si>
  <si>
    <t>WEEKLY ONS DATA</t>
  </si>
  <si>
    <t>WEEKLY FIGURES</t>
  </si>
  <si>
    <t>AVERAGES</t>
  </si>
  <si>
    <t>ACTUAL DATA</t>
  </si>
  <si>
    <t>1.Food &amp; non-alcoholic drinks</t>
  </si>
  <si>
    <t>OK</t>
  </si>
  <si>
    <t>2. Alcoholic drinks, tobacco &amp; narcotics</t>
  </si>
  <si>
    <t>3. Clothing &amp; footwear</t>
  </si>
  <si>
    <t>4. Housing(net), fuel &amp; power</t>
  </si>
  <si>
    <t>5. Household goods &amp; services</t>
  </si>
  <si>
    <t>6. Health</t>
  </si>
  <si>
    <t>7. Transport</t>
  </si>
  <si>
    <t>8. Communication</t>
  </si>
  <si>
    <t>9. Recreation &amp; culture</t>
  </si>
  <si>
    <t>10. Education</t>
  </si>
  <si>
    <t>11. Restaurants &amp; hotels</t>
  </si>
  <si>
    <t>12. Miscellaneous goods &amp; services</t>
  </si>
  <si>
    <t>Adjusted categories</t>
  </si>
  <si>
    <t>ADJUSTED CATEGORIES</t>
  </si>
  <si>
    <t>Transport adjustment factor</t>
  </si>
  <si>
    <t>Adjusted transport</t>
  </si>
  <si>
    <t>Misc. goods &amp; services adjust factor</t>
  </si>
  <si>
    <t>Adjusted goods &amp; services</t>
  </si>
  <si>
    <t>Housing(net)2, fuel &amp; power</t>
  </si>
  <si>
    <t>ADJUSTMENT FACTOR TO REMOVE HOUSING ITEMS</t>
  </si>
  <si>
    <t>ADJUSTED FOR REMOVAL OF HOUSING ITEMS</t>
  </si>
  <si>
    <t xml:space="preserve">Monthly rate </t>
  </si>
  <si>
    <t>MONTHLY ONS DATA</t>
  </si>
  <si>
    <t>MONTHLY FIGURES</t>
  </si>
  <si>
    <t>OCCUPIER LOOK-UP DATA</t>
  </si>
  <si>
    <t>Input descriptions</t>
  </si>
  <si>
    <t>All Retired?</t>
  </si>
  <si>
    <t>Adults</t>
  </si>
  <si>
    <t>Children</t>
  </si>
  <si>
    <t xml:space="preserve">Retired household </t>
  </si>
  <si>
    <t xml:space="preserve">Non-retired household </t>
  </si>
  <si>
    <t>Selected household for affordability</t>
  </si>
  <si>
    <t>Household total</t>
  </si>
  <si>
    <t>Look up from weekly figures annualised.</t>
  </si>
  <si>
    <t>Look up from monthly figures</t>
  </si>
  <si>
    <t>Figures for affordability calculator</t>
  </si>
  <si>
    <t>Food &amp; non-alcoholic drinks</t>
  </si>
  <si>
    <t>Clothing &amp; footwear</t>
  </si>
  <si>
    <t>Housing(net), fuel &amp; power (adjusted)</t>
  </si>
  <si>
    <t>Household goods &amp; services</t>
  </si>
  <si>
    <t>Transport (adjusted)</t>
  </si>
  <si>
    <t>Recreation &amp; culture</t>
  </si>
  <si>
    <t>Misc. goods &amp; services (adjusted for car ins.)</t>
  </si>
  <si>
    <t>Adjusted Household total</t>
  </si>
  <si>
    <t>4. Housing(net), fuel &amp; power (adjusted)</t>
  </si>
  <si>
    <t>7. Transport (adjusted)</t>
  </si>
  <si>
    <t>12. Misc. goods &amp; services (adjusted for car ins.)</t>
  </si>
  <si>
    <t>ONS: Are all applicants retired?</t>
  </si>
  <si>
    <t>OFFICE OF NATIONAL STATISTICS DATA</t>
  </si>
  <si>
    <t>SUPPORTING BORROWER LOOK-UP DATA</t>
  </si>
  <si>
    <t xml:space="preserve">OCCUPIER WEEKLY LOOK-UP DATA </t>
  </si>
  <si>
    <t xml:space="preserve">OCCUPIER MONTHLY LOOK-UP DATA </t>
  </si>
  <si>
    <t xml:space="preserve">SUPPORTER WEEKLY LOOK-UP DATA </t>
  </si>
  <si>
    <t xml:space="preserve">SUPPORTER MONTHLY LOOK-UP DATA </t>
  </si>
  <si>
    <t>SUPPORTER LOOK-UP DATA</t>
  </si>
  <si>
    <t>Motor insurance</t>
  </si>
  <si>
    <t>Utilities incl. Gas, Electricity &amp; Water</t>
  </si>
  <si>
    <t>Buildings &amp; Contents Insurance</t>
  </si>
  <si>
    <t>Mobile phone &amp; broadband contracts</t>
  </si>
  <si>
    <t>Average dentiistry, optician &amp; prescription costs</t>
  </si>
  <si>
    <t>Recreation (Leisure &amp; Lifestyle costs)</t>
  </si>
  <si>
    <t>Personal goods (e,g. expensive perfumes &amp; toiletries)</t>
  </si>
  <si>
    <t>Other exp. (e.g. pet &amp; vet costs, other subs, etc.)</t>
  </si>
  <si>
    <t>ONS Monthly</t>
  </si>
  <si>
    <t>ONS Annual</t>
  </si>
  <si>
    <t>Leisure &amp; Lifestyle costs</t>
  </si>
  <si>
    <t>Monthly Motoring Costs Breakdown</t>
  </si>
  <si>
    <t>Lifestyle &amp; Lifestyle costs</t>
  </si>
  <si>
    <t>Recreation (Lifestyle &amp; Lifestyle costs)</t>
  </si>
  <si>
    <t>Alcohol &amp; Cigarettes</t>
  </si>
  <si>
    <t>Total expenditure</t>
  </si>
  <si>
    <r>
      <t xml:space="preserve">Personal transport - </t>
    </r>
    <r>
      <rPr>
        <b/>
        <sz val="10"/>
        <rFont val="Tahoma"/>
        <family val="2"/>
      </rPr>
      <t xml:space="preserve">complete motoring costs </t>
    </r>
  </si>
  <si>
    <r>
      <t xml:space="preserve">Motor insurance - </t>
    </r>
    <r>
      <rPr>
        <b/>
        <sz val="10"/>
        <rFont val="Tahoma"/>
        <family val="2"/>
      </rPr>
      <t xml:space="preserve">complete motoring costs </t>
    </r>
  </si>
  <si>
    <r>
      <t xml:space="preserve">Other expenditure </t>
    </r>
    <r>
      <rPr>
        <sz val="8"/>
        <rFont val="Tahoma"/>
        <family val="2"/>
      </rPr>
      <t>(e.g. other insurances, hairdressing, etc.)</t>
    </r>
  </si>
  <si>
    <r>
      <t xml:space="preserve">Childcare </t>
    </r>
    <r>
      <rPr>
        <sz val="8"/>
        <rFont val="Tahoma"/>
        <family val="2"/>
      </rPr>
      <t>(nursery/school/university fees)</t>
    </r>
  </si>
  <si>
    <t>Back to Contents</t>
  </si>
  <si>
    <r>
      <t>State pension</t>
    </r>
    <r>
      <rPr>
        <b/>
        <vertAlign val="superscript"/>
        <sz val="8"/>
        <rFont val="Arial"/>
        <family val="2"/>
      </rPr>
      <t>1</t>
    </r>
  </si>
  <si>
    <t>Weighted number of households (thousands)</t>
  </si>
  <si>
    <t>Total number of households in sample</t>
  </si>
  <si>
    <t>Total number of persons in sample</t>
  </si>
  <si>
    <t>Total number of adults in sample</t>
  </si>
  <si>
    <t>Weighted average number of persons per household</t>
  </si>
  <si>
    <t>Commodity or service</t>
  </si>
  <si>
    <t>Average weekly household expenditure (£)</t>
  </si>
  <si>
    <t>Alcoholic drinks, tobacco &amp; narcotics</t>
  </si>
  <si>
    <r>
      <t>Housing(net)</t>
    </r>
    <r>
      <rPr>
        <vertAlign val="superscript"/>
        <sz val="9"/>
        <rFont val="Arial"/>
        <family val="2"/>
      </rPr>
      <t>2</t>
    </r>
    <r>
      <rPr>
        <sz val="9"/>
        <rFont val="Arial"/>
        <family val="2"/>
      </rPr>
      <t>, fuel &amp; power</t>
    </r>
  </si>
  <si>
    <t>Education</t>
  </si>
  <si>
    <t>:</t>
  </si>
  <si>
    <t>..</t>
  </si>
  <si>
    <t>[28.60]</t>
  </si>
  <si>
    <t>[14.20]</t>
  </si>
  <si>
    <t>[9.00]</t>
  </si>
  <si>
    <t>[15.20]</t>
  </si>
  <si>
    <t>Restaurants &amp; hotels</t>
  </si>
  <si>
    <t>Miscellaneous goods &amp; services</t>
  </si>
  <si>
    <t>1-12</t>
  </si>
  <si>
    <t>All expenditure groups</t>
  </si>
  <si>
    <t>Other expenditure items</t>
  </si>
  <si>
    <t>Average weekly expenditure per person (£)</t>
  </si>
  <si>
    <t>Note: The commodity and service categories are not comparable to those in publications before 2001-02.</t>
  </si>
  <si>
    <t>Please see background notes for symbols and conventions used in this report.</t>
  </si>
  <si>
    <t>1 Mainly dependent on state pensions and not economically active - see Methodology - Economically Inactive.</t>
  </si>
  <si>
    <t>2 Excluding mortgage interest payments, council tax and Northern Ireland rates Mortgage interest payments can be found in category 13.</t>
  </si>
  <si>
    <t>Source: Office for National Statistics</t>
  </si>
  <si>
    <t>Detailed household expenditure by household composition</t>
  </si>
  <si>
    <t>United Kingdom, financial year ending 2021</t>
  </si>
  <si>
    <t>1</t>
  </si>
  <si>
    <t>Food and non-alcoholic drinks</t>
  </si>
  <si>
    <t>1.1</t>
  </si>
  <si>
    <t>1.1.1</t>
  </si>
  <si>
    <t>Bread, rice and cereals</t>
  </si>
  <si>
    <t>1.1.2</t>
  </si>
  <si>
    <t>Pasta products</t>
  </si>
  <si>
    <t>1.1.3</t>
  </si>
  <si>
    <t>Buns, cakes, biscuits etc.</t>
  </si>
  <si>
    <t>1.1.4</t>
  </si>
  <si>
    <t>Pastry (savoury)</t>
  </si>
  <si>
    <t>1.1.5</t>
  </si>
  <si>
    <t>Beef (fresh, chilled or frozen)</t>
  </si>
  <si>
    <t>1.1.6</t>
  </si>
  <si>
    <t>Pork (fresh, chilled or frozen)</t>
  </si>
  <si>
    <t>1.1.7</t>
  </si>
  <si>
    <t>Lamb (fresh, chilled or frozen)</t>
  </si>
  <si>
    <t>1.1.8</t>
  </si>
  <si>
    <t>Poultry (fresh, chilled or frozen)</t>
  </si>
  <si>
    <t>1.1.9</t>
  </si>
  <si>
    <t>Bacon and ham</t>
  </si>
  <si>
    <t>1.1.10</t>
  </si>
  <si>
    <t>Other meat and meat preparations</t>
  </si>
  <si>
    <t>1.1.11</t>
  </si>
  <si>
    <t>Fish and fish products</t>
  </si>
  <si>
    <t>1.1.12</t>
  </si>
  <si>
    <t>Milk</t>
  </si>
  <si>
    <t>1.1.13</t>
  </si>
  <si>
    <t>Cheese and curd</t>
  </si>
  <si>
    <t>1.1.14</t>
  </si>
  <si>
    <t>Eggs</t>
  </si>
  <si>
    <t>1.1.15</t>
  </si>
  <si>
    <t>Other milk products</t>
  </si>
  <si>
    <t>1.1.16</t>
  </si>
  <si>
    <t>Butter</t>
  </si>
  <si>
    <t>1.1.17</t>
  </si>
  <si>
    <t>Margarine, other vegetable fats and peanut butter</t>
  </si>
  <si>
    <t>1.1.18</t>
  </si>
  <si>
    <t>Cooking oils and fats</t>
  </si>
  <si>
    <t>1.1.19</t>
  </si>
  <si>
    <t>Fresh fruit</t>
  </si>
  <si>
    <t>1.1.20</t>
  </si>
  <si>
    <t>Other fresh, chilled or frozen fruits</t>
  </si>
  <si>
    <t>1.1.21</t>
  </si>
  <si>
    <t>Dried fruit and nuts</t>
  </si>
  <si>
    <t>1.1.22</t>
  </si>
  <si>
    <t>Preserved fruit and fruit based products</t>
  </si>
  <si>
    <t>1.1.23</t>
  </si>
  <si>
    <t>Fresh vegetables</t>
  </si>
  <si>
    <t>1.1.24</t>
  </si>
  <si>
    <t>Dried vegetables</t>
  </si>
  <si>
    <t>1.1.25</t>
  </si>
  <si>
    <t>Other preserved or processed vegetables</t>
  </si>
  <si>
    <t>1.1.26</t>
  </si>
  <si>
    <t>Potatoes</t>
  </si>
  <si>
    <t>1.1.27</t>
  </si>
  <si>
    <t>Other tubers and products of tuber vegetables</t>
  </si>
  <si>
    <t>1.1.28</t>
  </si>
  <si>
    <t>Sugar and sugar products</t>
  </si>
  <si>
    <t>1.1.29</t>
  </si>
  <si>
    <t>Jams, marmalades</t>
  </si>
  <si>
    <t>1.1.30</t>
  </si>
  <si>
    <t>Chocolate</t>
  </si>
  <si>
    <t>1.1.31</t>
  </si>
  <si>
    <t>Confectionery products</t>
  </si>
  <si>
    <t>1.1.32</t>
  </si>
  <si>
    <t>Edible ices and ice cream</t>
  </si>
  <si>
    <t>1.1.33</t>
  </si>
  <si>
    <t>Other food products</t>
  </si>
  <si>
    <t>1.2</t>
  </si>
  <si>
    <t>Non-alcoholic drinks</t>
  </si>
  <si>
    <t>1.2.1</t>
  </si>
  <si>
    <t>Coffee</t>
  </si>
  <si>
    <t>1.2.2</t>
  </si>
  <si>
    <t>Tea</t>
  </si>
  <si>
    <t>1.2.3</t>
  </si>
  <si>
    <t>Cocoa and powdered chocolate</t>
  </si>
  <si>
    <t>1.2.4</t>
  </si>
  <si>
    <t>Fruit and vegetable juices (inc. fruit squash)</t>
  </si>
  <si>
    <t>1.2.5</t>
  </si>
  <si>
    <t>Mineral or spring waters</t>
  </si>
  <si>
    <t>1.2.6</t>
  </si>
  <si>
    <t>Soft drinks (inc. fizzy and ready to drink fruit drinks)</t>
  </si>
  <si>
    <t>The numbering system is sequential, it does not use actual COICOP codes.</t>
  </si>
  <si>
    <t>2</t>
  </si>
  <si>
    <t>Alcoholic drink, tobacco and narcotics</t>
  </si>
  <si>
    <t>2.1</t>
  </si>
  <si>
    <t>Alcoholic drinks</t>
  </si>
  <si>
    <t>2.1.1</t>
  </si>
  <si>
    <t>Spirits and liqueurs (brought home)</t>
  </si>
  <si>
    <t>2.1.2</t>
  </si>
  <si>
    <t>Wines, fortified wines (brought home)</t>
  </si>
  <si>
    <t>2.1.3</t>
  </si>
  <si>
    <t>Beer, lager, ciders and perry (brought home)</t>
  </si>
  <si>
    <t>2.1.4</t>
  </si>
  <si>
    <t>Alcopops (brought home)</t>
  </si>
  <si>
    <t>2.2</t>
  </si>
  <si>
    <t>Tobacco and narcotics</t>
  </si>
  <si>
    <t>2.2.1</t>
  </si>
  <si>
    <t>2.2.2</t>
  </si>
  <si>
    <t>Cigars, other tobacco products and narcotics</t>
  </si>
  <si>
    <t>3</t>
  </si>
  <si>
    <t>Clothing and footwear</t>
  </si>
  <si>
    <t>3.1</t>
  </si>
  <si>
    <t>3.1.1</t>
  </si>
  <si>
    <t>Men's outer garments</t>
  </si>
  <si>
    <t>3.1.2</t>
  </si>
  <si>
    <t>Men's under garments</t>
  </si>
  <si>
    <t>3.1.3</t>
  </si>
  <si>
    <t>Women's outer garments</t>
  </si>
  <si>
    <t>3.1.4</t>
  </si>
  <si>
    <t>Women's under garments</t>
  </si>
  <si>
    <t>3.1.5</t>
  </si>
  <si>
    <t>Boys' outer garments (5-15)</t>
  </si>
  <si>
    <t>3.1.6</t>
  </si>
  <si>
    <t>Girls' outer garments (5-15)</t>
  </si>
  <si>
    <t>3.1.7</t>
  </si>
  <si>
    <t>Infants' outer garments (under 5)</t>
  </si>
  <si>
    <t>3.1.8</t>
  </si>
  <si>
    <t>Children's under garments (under 16)</t>
  </si>
  <si>
    <t>3.1.9</t>
  </si>
  <si>
    <t>Accessories</t>
  </si>
  <si>
    <t>3.1.10</t>
  </si>
  <si>
    <t>Haberdashery and clothing hire</t>
  </si>
  <si>
    <t>3.1.11</t>
  </si>
  <si>
    <t>Dry cleaners, laundry and dyeing</t>
  </si>
  <si>
    <t>3.2</t>
  </si>
  <si>
    <t>Footwear</t>
  </si>
  <si>
    <t>4</t>
  </si>
  <si>
    <r>
      <t>Housing (net)</t>
    </r>
    <r>
      <rPr>
        <b/>
        <vertAlign val="superscript"/>
        <sz val="9"/>
        <rFont val="Arial"/>
        <family val="2"/>
      </rPr>
      <t>1</t>
    </r>
    <r>
      <rPr>
        <b/>
        <sz val="9"/>
        <rFont val="Arial"/>
        <family val="2"/>
      </rPr>
      <t>, fuel and power</t>
    </r>
  </si>
  <si>
    <t>4.1</t>
  </si>
  <si>
    <t>Actual rentals for housing</t>
  </si>
  <si>
    <t>4.1.1</t>
  </si>
  <si>
    <t>Gross rent</t>
  </si>
  <si>
    <t>4.1.2</t>
  </si>
  <si>
    <t>less housing benefit, rebates and allowances rec'd</t>
  </si>
  <si>
    <t>4.1.3</t>
  </si>
  <si>
    <r>
      <t>Net rent</t>
    </r>
    <r>
      <rPr>
        <vertAlign val="superscript"/>
        <sz val="7"/>
        <rFont val="Arial"/>
        <family val="2"/>
      </rPr>
      <t>2</t>
    </r>
  </si>
  <si>
    <t>4.1.4</t>
  </si>
  <si>
    <t>Second dwelling rent</t>
  </si>
  <si>
    <t>4.2</t>
  </si>
  <si>
    <t>Maintenance and repair of dwelling</t>
  </si>
  <si>
    <t>4.3</t>
  </si>
  <si>
    <t>Water supply and miscellaneous services</t>
  </si>
  <si>
    <t>relating to the dwelling</t>
  </si>
  <si>
    <t>4.4</t>
  </si>
  <si>
    <t>Electricity, gas and other fuels</t>
  </si>
  <si>
    <t>4.4.1</t>
  </si>
  <si>
    <t>4.4.2</t>
  </si>
  <si>
    <t>4.4.3</t>
  </si>
  <si>
    <t>Other fuels</t>
  </si>
  <si>
    <t>1 Excluding mortgage interest payments, council tax and Northern Ireland rates.</t>
  </si>
  <si>
    <t>2 The figure included in total expenditure is net rent as opposed to gross rent.</t>
  </si>
  <si>
    <t>5</t>
  </si>
  <si>
    <t>Household goods and services</t>
  </si>
  <si>
    <t>5.1</t>
  </si>
  <si>
    <t>Furniture and furnishings, carpets and</t>
  </si>
  <si>
    <t>other floor coverings</t>
  </si>
  <si>
    <t>5.1.1</t>
  </si>
  <si>
    <t>Furniture and furnishings</t>
  </si>
  <si>
    <t>5.1.2</t>
  </si>
  <si>
    <t>Floor coverings</t>
  </si>
  <si>
    <t>5.2</t>
  </si>
  <si>
    <t>Household textiles</t>
  </si>
  <si>
    <t>5.3</t>
  </si>
  <si>
    <t>Household appliances</t>
  </si>
  <si>
    <t>5.4</t>
  </si>
  <si>
    <t>Glassware, tableware and household utensils</t>
  </si>
  <si>
    <t>5.5</t>
  </si>
  <si>
    <t>Tools and equipment for house and garden</t>
  </si>
  <si>
    <t>5.6</t>
  </si>
  <si>
    <t>Goods and services for routine household</t>
  </si>
  <si>
    <t>maintenance</t>
  </si>
  <si>
    <t>5.6.1</t>
  </si>
  <si>
    <t>Cleaning materials</t>
  </si>
  <si>
    <t>5.6.2</t>
  </si>
  <si>
    <t>Household goods and hardware</t>
  </si>
  <si>
    <t>5.6.3</t>
  </si>
  <si>
    <t xml:space="preserve">Domestic services, carpet cleaning, </t>
  </si>
  <si>
    <t>hire/repair of furniture/furnishings</t>
  </si>
  <si>
    <t>6</t>
  </si>
  <si>
    <t>6.1</t>
  </si>
  <si>
    <t>Medical products, appliances and equipment</t>
  </si>
  <si>
    <t>6.1.1</t>
  </si>
  <si>
    <t>Medicines, prescriptions, healthcare products etc.</t>
  </si>
  <si>
    <t>6.1.2</t>
  </si>
  <si>
    <t>Spectacles, lenses, accessories and repairs</t>
  </si>
  <si>
    <t>6.2</t>
  </si>
  <si>
    <t>Hospital services</t>
  </si>
  <si>
    <t>7</t>
  </si>
  <si>
    <t>7.1</t>
  </si>
  <si>
    <t>Purchase of vehicles</t>
  </si>
  <si>
    <t>7.1.1</t>
  </si>
  <si>
    <t>Purchase of new cars and vans</t>
  </si>
  <si>
    <t>7.1.2</t>
  </si>
  <si>
    <t>Purchase of second hand cars or vans</t>
  </si>
  <si>
    <t>7.1.3</t>
  </si>
  <si>
    <t>Purchase of motorcycles and other vehicles</t>
  </si>
  <si>
    <t>7.2</t>
  </si>
  <si>
    <t>Operation of personal transport</t>
  </si>
  <si>
    <t>7.2.1</t>
  </si>
  <si>
    <t>Spares and accessories</t>
  </si>
  <si>
    <t>7.2.2</t>
  </si>
  <si>
    <t>Petrol, diesel and other motor oils</t>
  </si>
  <si>
    <t>7.2.3</t>
  </si>
  <si>
    <t>Repairs and servicing</t>
  </si>
  <si>
    <t>7.2.4</t>
  </si>
  <si>
    <t>Other motoring costs</t>
  </si>
  <si>
    <t>7.3</t>
  </si>
  <si>
    <t>Transport services</t>
  </si>
  <si>
    <t>7.3.1</t>
  </si>
  <si>
    <t>Rail and tube fares</t>
  </si>
  <si>
    <t>7.3.2</t>
  </si>
  <si>
    <t>Bus and coach fares</t>
  </si>
  <si>
    <t>7.3.3</t>
  </si>
  <si>
    <t>7.3.4</t>
  </si>
  <si>
    <t>Other travel and transport</t>
  </si>
  <si>
    <t>8</t>
  </si>
  <si>
    <t>8.1</t>
  </si>
  <si>
    <t>Postal services</t>
  </si>
  <si>
    <t>8.2</t>
  </si>
  <si>
    <t>Telephone and telefax equipment</t>
  </si>
  <si>
    <t>8.3</t>
  </si>
  <si>
    <r>
      <t>Telephone and telefax services</t>
    </r>
    <r>
      <rPr>
        <vertAlign val="superscript"/>
        <sz val="8"/>
        <rFont val="Arial"/>
        <family val="2"/>
      </rPr>
      <t>3</t>
    </r>
  </si>
  <si>
    <t>8.4</t>
  </si>
  <si>
    <t>Internet subscription fees (ex. combined packages)</t>
  </si>
  <si>
    <r>
      <t>Combined telecom services</t>
    </r>
    <r>
      <rPr>
        <vertAlign val="superscript"/>
        <sz val="8"/>
        <rFont val="Arial"/>
        <family val="2"/>
      </rPr>
      <t>4</t>
    </r>
  </si>
  <si>
    <t>3 For FYE 2019 onwards, excludes payments made as part of a combined bill.</t>
  </si>
  <si>
    <t>4 New for FYE 2019. This encompasses all telecoms bills that include more than one service. Due to the nature of combined packages, this also includes packages that include television services.</t>
  </si>
  <si>
    <t>9</t>
  </si>
  <si>
    <t>Recreation and culture</t>
  </si>
  <si>
    <t>9.1</t>
  </si>
  <si>
    <t>Audio-visual, photographic and information</t>
  </si>
  <si>
    <t>processing equipment</t>
  </si>
  <si>
    <t>9.1.1</t>
  </si>
  <si>
    <t>Audio equipment and accessories, CD players</t>
  </si>
  <si>
    <t>9.1.2</t>
  </si>
  <si>
    <t>TV, video and computers</t>
  </si>
  <si>
    <t>9.1.3</t>
  </si>
  <si>
    <t>Photographic, cine and optical equipment</t>
  </si>
  <si>
    <t>9.2</t>
  </si>
  <si>
    <t>Other major durables for recreation and culture</t>
  </si>
  <si>
    <t>9.3</t>
  </si>
  <si>
    <t>Other recreational items and equipment,</t>
  </si>
  <si>
    <t>gardens and pets</t>
  </si>
  <si>
    <t>9.3.1</t>
  </si>
  <si>
    <t>Games, toys and hobbies</t>
  </si>
  <si>
    <t>9.3.2</t>
  </si>
  <si>
    <t>Computer software and games</t>
  </si>
  <si>
    <t>9.3.3</t>
  </si>
  <si>
    <t>Equipment for sport, camping and open-air recreation</t>
  </si>
  <si>
    <t>9.3.4</t>
  </si>
  <si>
    <t>Horticultural goods, garden equipment and plants</t>
  </si>
  <si>
    <t>9.3.5</t>
  </si>
  <si>
    <t>Pets and pet food</t>
  </si>
  <si>
    <t>9.4</t>
  </si>
  <si>
    <t>Recreational and cultural services</t>
  </si>
  <si>
    <t>9.4.1</t>
  </si>
  <si>
    <t>Sports admissions, subscriptions, leisure class fees</t>
  </si>
  <si>
    <t>and equipment hire</t>
  </si>
  <si>
    <t>9.4.2</t>
  </si>
  <si>
    <t>Cinema, theatre and museums etc.</t>
  </si>
  <si>
    <t>9.4.3</t>
  </si>
  <si>
    <t>TV, video, satellite rental, cable subscriptions</t>
  </si>
  <si>
    <r>
      <t>and TV licences</t>
    </r>
    <r>
      <rPr>
        <vertAlign val="superscript"/>
        <sz val="7"/>
        <rFont val="Arial"/>
        <family val="2"/>
      </rPr>
      <t>5</t>
    </r>
  </si>
  <si>
    <t>9.4.4</t>
  </si>
  <si>
    <t>Miscellaneous entertainments</t>
  </si>
  <si>
    <t>9.4.5</t>
  </si>
  <si>
    <t>Development of film, deposit for film development,</t>
  </si>
  <si>
    <t>passport photos, holiday and school photos</t>
  </si>
  <si>
    <t>9.4.6</t>
  </si>
  <si>
    <t>Gambling payments</t>
  </si>
  <si>
    <t>9.5</t>
  </si>
  <si>
    <t>Newspapers, books and stationery</t>
  </si>
  <si>
    <t>9.5.1</t>
  </si>
  <si>
    <t>Books</t>
  </si>
  <si>
    <t>9.5.2</t>
  </si>
  <si>
    <t>Diaries, address books, cards etc.</t>
  </si>
  <si>
    <t>9.5.3</t>
  </si>
  <si>
    <t>Newspapers</t>
  </si>
  <si>
    <t>9.5.4</t>
  </si>
  <si>
    <t>Magazines and periodicals</t>
  </si>
  <si>
    <t>9.6</t>
  </si>
  <si>
    <t>Package holidays</t>
  </si>
  <si>
    <t>9.6.1</t>
  </si>
  <si>
    <t>Package holidays - UK</t>
  </si>
  <si>
    <t>9.6.2</t>
  </si>
  <si>
    <t>Package holidays - abroad</t>
  </si>
  <si>
    <t>10</t>
  </si>
  <si>
    <t>10.1</t>
  </si>
  <si>
    <t>Education fees</t>
  </si>
  <si>
    <t>10.2</t>
  </si>
  <si>
    <t>Payments for school trips, other ad-hoc</t>
  </si>
  <si>
    <t>expenditure</t>
  </si>
  <si>
    <t>11</t>
  </si>
  <si>
    <t>Restaurants and hotels</t>
  </si>
  <si>
    <t>11.1</t>
  </si>
  <si>
    <t>Catering services</t>
  </si>
  <si>
    <t>11.1.1</t>
  </si>
  <si>
    <t>Restaurant and café meals</t>
  </si>
  <si>
    <t>11.1.2</t>
  </si>
  <si>
    <t>Alcoholic drinks (away from home)</t>
  </si>
  <si>
    <t>11.1.3</t>
  </si>
  <si>
    <t>Take away meals eaten at home</t>
  </si>
  <si>
    <t>11.1.4</t>
  </si>
  <si>
    <t>Other take-away and snack food</t>
  </si>
  <si>
    <t>11.1.5</t>
  </si>
  <si>
    <t>Contract catering (food) and canteens</t>
  </si>
  <si>
    <t>11.2</t>
  </si>
  <si>
    <t>Accommodation services</t>
  </si>
  <si>
    <t>11.2.1</t>
  </si>
  <si>
    <t>Holiday in the UK</t>
  </si>
  <si>
    <t>11.2.2</t>
  </si>
  <si>
    <t>Holiday abroad</t>
  </si>
  <si>
    <t>11.2.3</t>
  </si>
  <si>
    <t>Room hire</t>
  </si>
  <si>
    <t>5 For FYE 2019 onwards, excludes payments made as part of a combined bill.</t>
  </si>
  <si>
    <t>12</t>
  </si>
  <si>
    <t>Miscellaneous goods and services</t>
  </si>
  <si>
    <t>12.1</t>
  </si>
  <si>
    <t>Personal care</t>
  </si>
  <si>
    <t>12.1.1</t>
  </si>
  <si>
    <t>Hairdressing, beauty treatment</t>
  </si>
  <si>
    <t>12.1.2</t>
  </si>
  <si>
    <t>Toilet paper</t>
  </si>
  <si>
    <t>12.1.3</t>
  </si>
  <si>
    <t>Toiletries and soap</t>
  </si>
  <si>
    <t>12.1.4</t>
  </si>
  <si>
    <t>Baby toiletries and accessories (disposable)</t>
  </si>
  <si>
    <t>12.1.5</t>
  </si>
  <si>
    <t>Hair products, cosmetics and related electrical appliances</t>
  </si>
  <si>
    <t>12.2</t>
  </si>
  <si>
    <t>Personal effects</t>
  </si>
  <si>
    <t>12.3</t>
  </si>
  <si>
    <t>Social protection</t>
  </si>
  <si>
    <t>12.4</t>
  </si>
  <si>
    <t>Insurance</t>
  </si>
  <si>
    <t>12.4.1</t>
  </si>
  <si>
    <t>Household insurances - structural, contents</t>
  </si>
  <si>
    <t>and appliances</t>
  </si>
  <si>
    <t>12.4.2</t>
  </si>
  <si>
    <r>
      <t>Medical insurance premiums</t>
    </r>
    <r>
      <rPr>
        <vertAlign val="superscript"/>
        <sz val="7"/>
        <rFont val="Arial"/>
        <family val="2"/>
      </rPr>
      <t>6</t>
    </r>
  </si>
  <si>
    <t>12.4.3</t>
  </si>
  <si>
    <t>Vehicle insurance including boat insurance</t>
  </si>
  <si>
    <t>12.4.4</t>
  </si>
  <si>
    <r>
      <t>Non-package holiday, other travel insurance</t>
    </r>
    <r>
      <rPr>
        <vertAlign val="superscript"/>
        <sz val="7"/>
        <rFont val="Arial"/>
        <family val="2"/>
      </rPr>
      <t>7</t>
    </r>
  </si>
  <si>
    <t>12.5</t>
  </si>
  <si>
    <t xml:space="preserve">Other services </t>
  </si>
  <si>
    <t>12.5.1</t>
  </si>
  <si>
    <t>Moving house</t>
  </si>
  <si>
    <t>12.5.2</t>
  </si>
  <si>
    <t>Bank, building society, post office, credit card charges</t>
  </si>
  <si>
    <t>12.5.3</t>
  </si>
  <si>
    <t>Other services and professional fees</t>
  </si>
  <si>
    <t>13</t>
  </si>
  <si>
    <t>13.1</t>
  </si>
  <si>
    <t>Housing: mortgage interest payments,</t>
  </si>
  <si>
    <t>council tax etc.</t>
  </si>
  <si>
    <t>13.2</t>
  </si>
  <si>
    <t>Licences, fines and transfers</t>
  </si>
  <si>
    <t>13.3</t>
  </si>
  <si>
    <t>Holiday spending</t>
  </si>
  <si>
    <t>13.4</t>
  </si>
  <si>
    <t>Money transfers and credit</t>
  </si>
  <si>
    <t>13.4.1</t>
  </si>
  <si>
    <t>Money, cash gifts given to children</t>
  </si>
  <si>
    <t>13.4.2</t>
  </si>
  <si>
    <t>Cash gifts and donations</t>
  </si>
  <si>
    <t>13.4.3</t>
  </si>
  <si>
    <t>Club instalment payments (child) and interest on</t>
  </si>
  <si>
    <t>credit cards</t>
  </si>
  <si>
    <t xml:space="preserve">Total expenditure </t>
  </si>
  <si>
    <t>14</t>
  </si>
  <si>
    <t>Other items recorded</t>
  </si>
  <si>
    <t>14.1</t>
  </si>
  <si>
    <t>Life assurance and contributions to pension funds</t>
  </si>
  <si>
    <t>14.2</t>
  </si>
  <si>
    <t>Other insurance inc. friendly societies</t>
  </si>
  <si>
    <t>14.3</t>
  </si>
  <si>
    <r>
      <t xml:space="preserve">Income tax, payments </t>
    </r>
    <r>
      <rPr>
        <i/>
        <sz val="8"/>
        <rFont val="Arial"/>
        <family val="2"/>
      </rPr>
      <t>less</t>
    </r>
    <r>
      <rPr>
        <sz val="8"/>
        <rFont val="Arial"/>
        <family val="2"/>
      </rPr>
      <t xml:space="preserve"> refunds</t>
    </r>
  </si>
  <si>
    <t>14.4</t>
  </si>
  <si>
    <t>National insurance contributions</t>
  </si>
  <si>
    <t>14.5</t>
  </si>
  <si>
    <t>Purchase or alteration of dwellings, mortgages</t>
  </si>
  <si>
    <t>14.6</t>
  </si>
  <si>
    <t>Savings and investments</t>
  </si>
  <si>
    <t>14.7</t>
  </si>
  <si>
    <t>Pay off loan to clear other debt</t>
  </si>
  <si>
    <t>14.8</t>
  </si>
  <si>
    <r>
      <t>Windfall receipts from gambling etc</t>
    </r>
    <r>
      <rPr>
        <vertAlign val="superscript"/>
        <sz val="8"/>
        <rFont val="Arial"/>
        <family val="2"/>
      </rPr>
      <t>8</t>
    </r>
  </si>
  <si>
    <t>6 For FYE 2019, critical illness cover, personal accident insurance and other medical insurance are included here. They were not included in previous years.</t>
  </si>
  <si>
    <t xml:space="preserve">7 For FYE 2019, information about insurance for non-package holiday and other travel insurance was collected in the questionnaire in addition to the diary. In previous years, this was </t>
  </si>
  <si>
    <t xml:space="preserve">  based on diary data only.</t>
  </si>
  <si>
    <t>8 Expressed as an income figure as opposed to an expenditure figure.</t>
  </si>
  <si>
    <t>United Kingdom, financial year ending 2022</t>
  </si>
  <si>
    <t>* If LTV is over 80% and occupying borrower(s) still reliant on supporting borrower's income in retirement?</t>
  </si>
  <si>
    <t>Lending in Retirement (Max. LTV 80%) Retirement coverage - applicants income alone when supporting borrowers retire</t>
  </si>
  <si>
    <t>Maximum LTV 80% - occupying borrower(s) will reach age 70 before the end of the mortgage term</t>
  </si>
  <si>
    <t>Maximum LTV 80% - supporting borrower(s) are age 70 or over at the start of the mortgage</t>
  </si>
  <si>
    <t>If the LTV is over 80% &amp; the supporting borrower(s) are age 70 or over at the start of the mortgage?</t>
  </si>
  <si>
    <t>If the LTV is over 80% &amp; the occupying borrower(s) will reach the age 70 before mortgage ends?</t>
  </si>
  <si>
    <t>JBSP v28 -121224</t>
  </si>
  <si>
    <t>JBSP v28 - 12th December 2024</t>
  </si>
  <si>
    <t>JBSP v28 - 12th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</si>
</sst>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quot;£&quot;#,##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0.000%"/>
    <numFmt numFmtId="166" formatCode="0.0000%"/>
    <numFmt numFmtId="167" formatCode="0.0"/>
    <numFmt numFmtId="168" formatCode="0.0000"/>
    <numFmt numFmtId="169" formatCode="0.000000"/>
    <numFmt numFmtId="170" formatCode="0.00000"/>
    <numFmt numFmtId="171" formatCode="General_)"/>
    <numFmt numFmtId="172" formatCode="#,##0_ ;\-#,##0\ "/>
    <numFmt numFmtId="173" formatCode="_-* #,##0_-;\-* #,##0_-;_-* &quot;-&quot;??_-;_-@_-"/>
    <numFmt numFmtId="174" formatCode="_-[$£-809]* #,##0.00_-;\-[$£-809]* #,##0.00_-;_-[$£-809]* &quot;-&quot;??_-;_-@_-"/>
    <numFmt numFmtId="175" formatCode="0.00000%"/>
    <numFmt numFmtId="176" formatCode="0.000000%"/>
    <numFmt numFmtId="177" formatCode="0.0000000%"/>
    <numFmt numFmtId="178" formatCode="&quot;£&quot;#,##0.00"/>
    <numFmt numFmtId="179" formatCode="_-&quot;£&quot;* #,##0.0_-;\-&quot;£&quot;* #,##0.0_-;_-&quot;£&quot;* &quot;-&quot;??_-;_-@_-"/>
    <numFmt numFmtId="180" formatCode="&quot;£&quot;#,##0"/>
    <numFmt numFmtId="181" formatCode="0.0&quot;0&quot;"/>
    <numFmt numFmtId="182" formatCode="#,##0.0"/>
    <numFmt numFmtId="183" formatCode="&quot;[&quot;0.0&quot;0&quot;&quot;]&quot;"/>
    <numFmt numFmtId="184" formatCode="&quot;[&quot;0.0&quot;0~&quot;&quot;]&quot;"/>
    <numFmt numFmtId="185" formatCode="0.0&quot;0~&quot;"/>
  </numFmts>
  <fonts count="105">
    <font>
      <sz val="10"/>
      <name val="Tahoma"/>
    </font>
    <font>
      <sz val="10"/>
      <name val="Tahoma"/>
      <family val="2"/>
    </font>
    <font>
      <b/>
      <sz val="10"/>
      <name val="Tahoma"/>
      <family val="2"/>
    </font>
    <font>
      <sz val="8"/>
      <name val="Tahoma"/>
      <family val="2"/>
    </font>
    <font>
      <sz val="10"/>
      <name val="Tahoma"/>
      <family val="2"/>
    </font>
    <font>
      <b/>
      <u/>
      <sz val="10"/>
      <name val="Tahoma"/>
      <family val="2"/>
    </font>
    <font>
      <sz val="10"/>
      <name val="Arial (W1)"/>
    </font>
    <font>
      <sz val="9"/>
      <color indexed="81"/>
      <name val="Tahoma"/>
      <family val="2"/>
    </font>
    <font>
      <b/>
      <sz val="10"/>
      <color indexed="10"/>
      <name val="Tahoma"/>
      <family val="2"/>
    </font>
    <font>
      <b/>
      <sz val="10"/>
      <name val="Arial"/>
      <family val="2"/>
    </font>
    <font>
      <sz val="10"/>
      <name val="Arial"/>
      <family val="2"/>
    </font>
    <font>
      <b/>
      <i/>
      <sz val="10"/>
      <name val="Tahoma"/>
      <family val="2"/>
    </font>
    <font>
      <sz val="10"/>
      <name val="Courier"/>
      <family val="3"/>
    </font>
    <font>
      <sz val="10"/>
      <name val="MS Sans Serif"/>
      <family val="2"/>
    </font>
    <font>
      <sz val="10"/>
      <name val="Tahoma"/>
      <family val="2"/>
    </font>
    <font>
      <b/>
      <u/>
      <sz val="9"/>
      <color indexed="81"/>
      <name val="Tahoma"/>
      <family val="2"/>
    </font>
    <font>
      <sz val="10"/>
      <name val="Tahoma"/>
      <family val="2"/>
    </font>
    <font>
      <sz val="10"/>
      <name val="Tahoma"/>
      <family val="2"/>
    </font>
    <font>
      <sz val="10"/>
      <name val="Tahoma"/>
      <family val="2"/>
    </font>
    <font>
      <b/>
      <u/>
      <sz val="11"/>
      <name val="Calibri"/>
      <family val="2"/>
    </font>
    <font>
      <b/>
      <sz val="11"/>
      <name val="Calibri"/>
      <family val="2"/>
    </font>
    <font>
      <sz val="11"/>
      <name val="Calibri"/>
      <family val="2"/>
    </font>
    <font>
      <b/>
      <sz val="11"/>
      <name val="Calibri"/>
      <family val="2"/>
    </font>
    <font>
      <sz val="11"/>
      <name val="Tahoma"/>
      <family val="2"/>
    </font>
    <font>
      <u/>
      <sz val="10"/>
      <name val="Tahoma"/>
      <family val="2"/>
    </font>
    <font>
      <b/>
      <u/>
      <sz val="10"/>
      <name val="Arial"/>
      <family val="2"/>
    </font>
    <font>
      <sz val="10"/>
      <name val="Tahoma"/>
      <family val="2"/>
    </font>
    <font>
      <sz val="10"/>
      <name val="Tahoma"/>
      <family val="2"/>
    </font>
    <font>
      <b/>
      <u val="singleAccounting"/>
      <sz val="10"/>
      <name val="Tahoma"/>
      <family val="2"/>
    </font>
    <font>
      <sz val="10"/>
      <name val="Tahoma"/>
      <family val="2"/>
    </font>
    <font>
      <u val="singleAccounting"/>
      <sz val="10"/>
      <name val="Tahoma"/>
      <family val="2"/>
    </font>
    <font>
      <sz val="10"/>
      <name val="Tahoma"/>
      <family val="2"/>
    </font>
    <font>
      <b/>
      <sz val="9"/>
      <color indexed="81"/>
      <name val="Tahoma"/>
      <family val="2"/>
    </font>
    <font>
      <sz val="10"/>
      <name val="Tahoma"/>
      <family val="2"/>
    </font>
    <font>
      <sz val="14"/>
      <name val="Tahoma"/>
      <family val="2"/>
    </font>
    <font>
      <sz val="10"/>
      <name val="Tahoma"/>
      <family val="2"/>
    </font>
    <font>
      <sz val="10"/>
      <name val="Tahoma"/>
      <family val="2"/>
    </font>
    <font>
      <b/>
      <u/>
      <sz val="14"/>
      <name val="Tahoma"/>
      <family val="2"/>
    </font>
    <font>
      <sz val="10"/>
      <name val="Tahoma"/>
      <family val="2"/>
    </font>
    <font>
      <sz val="8"/>
      <name val="Tahoma"/>
      <family val="2"/>
    </font>
    <font>
      <sz val="10"/>
      <name val="Tahoma"/>
      <family val="2"/>
    </font>
    <font>
      <sz val="10"/>
      <name val="Tahoma"/>
      <family val="2"/>
    </font>
    <font>
      <sz val="10"/>
      <name val="Tahoma"/>
      <family val="2"/>
    </font>
    <font>
      <sz val="10"/>
      <name val="Tahoma"/>
      <family val="2"/>
    </font>
    <font>
      <sz val="10"/>
      <name val="Tahoma"/>
      <family val="2"/>
    </font>
    <font>
      <sz val="10"/>
      <name val="Tahoma"/>
      <family val="2"/>
    </font>
    <font>
      <sz val="11"/>
      <color theme="1"/>
      <name val="Calibri"/>
      <family val="2"/>
      <scheme val="minor"/>
    </font>
    <font>
      <b/>
      <sz val="11"/>
      <color theme="1"/>
      <name val="Calibri"/>
      <family val="2"/>
      <scheme val="minor"/>
    </font>
    <font>
      <sz val="11"/>
      <color rgb="FFFF0000"/>
      <name val="Calibri"/>
      <family val="2"/>
      <scheme val="minor"/>
    </font>
    <font>
      <b/>
      <sz val="14"/>
      <color theme="4"/>
      <name val="Calibri"/>
      <family val="2"/>
      <scheme val="minor"/>
    </font>
    <font>
      <b/>
      <u/>
      <sz val="11"/>
      <name val="Calibri"/>
      <family val="2"/>
      <scheme val="minor"/>
    </font>
    <font>
      <b/>
      <sz val="11"/>
      <name val="Calibri"/>
      <family val="2"/>
      <scheme val="minor"/>
    </font>
    <font>
      <sz val="11"/>
      <name val="Calibri"/>
      <family val="2"/>
      <scheme val="minor"/>
    </font>
    <font>
      <sz val="10"/>
      <name val="Calibri"/>
      <family val="2"/>
      <scheme val="minor"/>
    </font>
    <font>
      <b/>
      <sz val="11"/>
      <color rgb="FFFF0000"/>
      <name val="Calibri"/>
      <family val="2"/>
      <scheme val="minor"/>
    </font>
    <font>
      <b/>
      <u/>
      <sz val="11"/>
      <color rgb="FFFF0000"/>
      <name val="Calibri"/>
      <family val="2"/>
      <scheme val="minor"/>
    </font>
    <font>
      <sz val="11"/>
      <color rgb="FFFF0000"/>
      <name val="Calibri"/>
      <family val="2"/>
    </font>
    <font>
      <b/>
      <sz val="11"/>
      <color rgb="FFFF0000"/>
      <name val="Calibri"/>
      <family val="2"/>
    </font>
    <font>
      <b/>
      <sz val="14"/>
      <name val="Calibri"/>
      <family val="2"/>
      <scheme val="minor"/>
    </font>
    <font>
      <b/>
      <sz val="14"/>
      <color rgb="FF4D7BBF"/>
      <name val="Calibri"/>
      <family val="2"/>
      <scheme val="minor"/>
    </font>
    <font>
      <sz val="10"/>
      <color rgb="FFFF0000"/>
      <name val="Tahoma"/>
      <family val="2"/>
    </font>
    <font>
      <sz val="10"/>
      <color rgb="FF00B050"/>
      <name val="Tahoma"/>
      <family val="2"/>
    </font>
    <font>
      <b/>
      <u/>
      <sz val="10"/>
      <color theme="1"/>
      <name val="Tahoma"/>
      <family val="2"/>
    </font>
    <font>
      <sz val="10"/>
      <color theme="1"/>
      <name val="Tahoma"/>
      <family val="2"/>
    </font>
    <font>
      <b/>
      <sz val="10"/>
      <color theme="1"/>
      <name val="Tahoma"/>
      <family val="2"/>
    </font>
    <font>
      <u/>
      <sz val="10"/>
      <color theme="1"/>
      <name val="Tahoma"/>
      <family val="2"/>
    </font>
    <font>
      <b/>
      <sz val="10"/>
      <color rgb="FF7030A0"/>
      <name val="Tahoma"/>
      <family val="2"/>
    </font>
    <font>
      <b/>
      <sz val="14"/>
      <color rgb="FF7030A0"/>
      <name val="Tahoma"/>
      <family val="2"/>
    </font>
    <font>
      <sz val="10"/>
      <color rgb="FFFF0000"/>
      <name val="Arial"/>
      <family val="2"/>
    </font>
    <font>
      <b/>
      <sz val="10"/>
      <color rgb="FFFF0000"/>
      <name val="Tahoma"/>
      <family val="2"/>
    </font>
    <font>
      <sz val="10"/>
      <color rgb="FF92D050"/>
      <name val="Tahoma"/>
      <family val="2"/>
    </font>
    <font>
      <b/>
      <sz val="12"/>
      <color rgb="FF7030A0"/>
      <name val="Tahoma"/>
      <family val="2"/>
    </font>
    <font>
      <b/>
      <sz val="8"/>
      <color theme="1"/>
      <name val="Tahoma"/>
      <family val="2"/>
    </font>
    <font>
      <b/>
      <sz val="8"/>
      <name val="Tahoma"/>
      <family val="2"/>
    </font>
    <font>
      <b/>
      <u/>
      <sz val="10"/>
      <color rgb="FFFF0000"/>
      <name val="Tahoma"/>
      <family val="2"/>
    </font>
    <font>
      <b/>
      <u/>
      <sz val="12"/>
      <color rgb="FFFF0000"/>
      <name val="Tahoma"/>
      <family val="2"/>
    </font>
    <font>
      <b/>
      <u/>
      <sz val="12"/>
      <name val="Tahoma"/>
      <family val="2"/>
    </font>
    <font>
      <b/>
      <sz val="10"/>
      <color rgb="FF0070C0"/>
      <name val="Tahoma"/>
      <family val="2"/>
    </font>
    <font>
      <u/>
      <sz val="10"/>
      <color rgb="FFFF0000"/>
      <name val="Tahoma"/>
      <family val="2"/>
    </font>
    <font>
      <b/>
      <sz val="12"/>
      <color indexed="18"/>
      <name val="Arial"/>
      <family val="2"/>
    </font>
    <font>
      <b/>
      <sz val="10"/>
      <name val="Arial Narrow"/>
      <family val="2"/>
    </font>
    <font>
      <b/>
      <sz val="12"/>
      <name val="Arial"/>
      <family val="2"/>
    </font>
    <font>
      <b/>
      <sz val="8"/>
      <name val="Arial"/>
      <family val="2"/>
    </font>
    <font>
      <u/>
      <sz val="10"/>
      <color theme="10"/>
      <name val="Courier"/>
      <family val="3"/>
    </font>
    <font>
      <u/>
      <sz val="10"/>
      <color rgb="FF002060"/>
      <name val="Arial"/>
      <family val="2"/>
    </font>
    <font>
      <b/>
      <sz val="14"/>
      <name val="Arial"/>
      <family val="2"/>
    </font>
    <font>
      <b/>
      <sz val="10"/>
      <color indexed="18"/>
      <name val="Arial"/>
      <family val="2"/>
    </font>
    <font>
      <sz val="8"/>
      <name val="Arial"/>
      <family val="2"/>
    </font>
    <font>
      <sz val="7"/>
      <name val="Arial"/>
      <family val="2"/>
    </font>
    <font>
      <b/>
      <vertAlign val="superscript"/>
      <sz val="8"/>
      <name val="Arial"/>
      <family val="2"/>
    </font>
    <font>
      <sz val="8"/>
      <color indexed="18"/>
      <name val="Arial"/>
      <family val="2"/>
    </font>
    <font>
      <sz val="9"/>
      <color indexed="18"/>
      <name val="Arial"/>
      <family val="2"/>
    </font>
    <font>
      <sz val="9"/>
      <name val="Arial"/>
      <family val="2"/>
    </font>
    <font>
      <i/>
      <sz val="7"/>
      <name val="Arial"/>
      <family val="2"/>
    </font>
    <font>
      <i/>
      <sz val="8"/>
      <name val="Arial"/>
      <family val="2"/>
    </font>
    <font>
      <vertAlign val="superscript"/>
      <sz val="9"/>
      <name val="Arial"/>
      <family val="2"/>
    </font>
    <font>
      <b/>
      <sz val="9"/>
      <name val="Arial"/>
      <family val="2"/>
    </font>
    <font>
      <b/>
      <i/>
      <sz val="7"/>
      <name val="Arial"/>
      <family val="2"/>
    </font>
    <font>
      <u/>
      <sz val="8"/>
      <color indexed="30"/>
      <name val="Arial"/>
      <family val="2"/>
    </font>
    <font>
      <b/>
      <sz val="35"/>
      <name val="Arial Narrow"/>
      <family val="2"/>
    </font>
    <font>
      <b/>
      <vertAlign val="superscript"/>
      <sz val="9"/>
      <name val="Arial"/>
      <family val="2"/>
    </font>
    <font>
      <vertAlign val="superscript"/>
      <sz val="7"/>
      <name val="Arial"/>
      <family val="2"/>
    </font>
    <font>
      <b/>
      <sz val="8"/>
      <color rgb="FFFF0000"/>
      <name val="Arial"/>
      <family val="2"/>
    </font>
    <font>
      <i/>
      <sz val="9"/>
      <name val="Arial"/>
      <family val="2"/>
    </font>
    <font>
      <vertAlign val="superscript"/>
      <sz val="8"/>
      <name val="Arial"/>
      <family val="2"/>
    </font>
  </fonts>
  <fills count="36">
    <fill>
      <patternFill patternType="none"/>
    </fill>
    <fill>
      <patternFill patternType="gray125"/>
    </fill>
    <fill>
      <patternFill patternType="solid">
        <fgColor indexed="43"/>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5B3D7"/>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EE8EE"/>
        <bgColor indexed="64"/>
      </patternFill>
    </fill>
    <fill>
      <patternFill patternType="solid">
        <fgColor rgb="FF99D24E"/>
        <bgColor indexed="64"/>
      </patternFill>
    </fill>
    <fill>
      <patternFill patternType="solid">
        <fgColor rgb="FFCCFFCC"/>
        <bgColor indexed="64"/>
      </patternFill>
    </fill>
    <fill>
      <patternFill patternType="solid">
        <fgColor rgb="FFCCECFF"/>
        <bgColor indexed="64"/>
      </patternFill>
    </fill>
    <fill>
      <patternFill patternType="solid">
        <fgColor rgb="FFCCFFFF"/>
        <bgColor indexed="64"/>
      </patternFill>
    </fill>
    <fill>
      <patternFill patternType="solid">
        <fgColor theme="9" tint="0.79998168889431442"/>
        <bgColor indexed="64"/>
      </patternFill>
    </fill>
    <fill>
      <patternFill patternType="solid">
        <fgColor rgb="FF7030A0"/>
        <bgColor indexed="64"/>
      </patternFill>
    </fill>
    <fill>
      <patternFill patternType="solid">
        <fgColor rgb="FFEAEAEA"/>
        <bgColor indexed="64"/>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7">
    <xf numFmtId="0" fontId="0" fillId="0" borderId="0"/>
    <xf numFmtId="43" fontId="1" fillId="0" borderId="0" applyFont="0" applyFill="0" applyBorder="0" applyAlignment="0" applyProtection="0"/>
    <xf numFmtId="40" fontId="1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10" fillId="0" borderId="0"/>
    <xf numFmtId="171" fontId="12" fillId="0" borderId="0"/>
    <xf numFmtId="0" fontId="46" fillId="0" borderId="0"/>
    <xf numFmtId="0" fontId="4" fillId="0" borderId="0"/>
    <xf numFmtId="0" fontId="46" fillId="0" borderId="0"/>
    <xf numFmtId="9" fontId="1"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0" fontId="1" fillId="0" borderId="0"/>
    <xf numFmtId="171" fontId="83" fillId="0" borderId="0" applyNumberFormat="0" applyFill="0" applyBorder="0" applyAlignment="0" applyProtection="0"/>
    <xf numFmtId="40" fontId="12" fillId="0" borderId="0" applyFont="0" applyFill="0" applyBorder="0" applyAlignment="0" applyProtection="0"/>
  </cellStyleXfs>
  <cellXfs count="1337">
    <xf numFmtId="0" fontId="0" fillId="0" borderId="0" xfId="0"/>
    <xf numFmtId="0" fontId="4" fillId="0" borderId="0" xfId="0" applyFont="1"/>
    <xf numFmtId="0" fontId="2" fillId="0" borderId="0" xfId="9" applyFont="1"/>
    <xf numFmtId="0" fontId="4" fillId="0" borderId="0" xfId="9"/>
    <xf numFmtId="0" fontId="49" fillId="0" borderId="0" xfId="9" applyFont="1"/>
    <xf numFmtId="0" fontId="50" fillId="0" borderId="0" xfId="9" applyFont="1"/>
    <xf numFmtId="0" fontId="51" fillId="0" borderId="0" xfId="9" applyFont="1"/>
    <xf numFmtId="0" fontId="21" fillId="0" borderId="0" xfId="9" applyFont="1"/>
    <xf numFmtId="0" fontId="22" fillId="0" borderId="0" xfId="9" applyFont="1"/>
    <xf numFmtId="0" fontId="52" fillId="0" borderId="0" xfId="9" applyFont="1"/>
    <xf numFmtId="0" fontId="53" fillId="0" borderId="0" xfId="9" applyFont="1"/>
    <xf numFmtId="0" fontId="23" fillId="0" borderId="0" xfId="9" applyFont="1"/>
    <xf numFmtId="0" fontId="54" fillId="0" borderId="0" xfId="9" applyFont="1"/>
    <xf numFmtId="0" fontId="48" fillId="0" borderId="0" xfId="9" applyFont="1"/>
    <xf numFmtId="0" fontId="5" fillId="0" borderId="0" xfId="9" applyFont="1"/>
    <xf numFmtId="0" fontId="55" fillId="0" borderId="0" xfId="9" applyFont="1"/>
    <xf numFmtId="0" fontId="56" fillId="0" borderId="0" xfId="9" applyFont="1"/>
    <xf numFmtId="0" fontId="57" fillId="0" borderId="0" xfId="9" applyFont="1"/>
    <xf numFmtId="0" fontId="51" fillId="0" borderId="0" xfId="0" applyFont="1"/>
    <xf numFmtId="0" fontId="53" fillId="0" borderId="0" xfId="0" applyFont="1"/>
    <xf numFmtId="0" fontId="52" fillId="0" borderId="0" xfId="0" applyFont="1"/>
    <xf numFmtId="0" fontId="23" fillId="0" borderId="0" xfId="0" applyFont="1"/>
    <xf numFmtId="0" fontId="58" fillId="0" borderId="0" xfId="9" applyFont="1"/>
    <xf numFmtId="0" fontId="5" fillId="0" borderId="0" xfId="0" applyFont="1"/>
    <xf numFmtId="0" fontId="59" fillId="0" borderId="0" xfId="9" applyFont="1"/>
    <xf numFmtId="0" fontId="2" fillId="0" borderId="1" xfId="9" applyFont="1" applyBorder="1" applyAlignment="1" applyProtection="1">
      <alignment horizontal="center"/>
      <protection hidden="1"/>
    </xf>
    <xf numFmtId="0" fontId="0" fillId="0" borderId="2" xfId="0" applyBorder="1" applyAlignment="1" applyProtection="1">
      <alignment horizontal="center"/>
      <protection hidden="1"/>
    </xf>
    <xf numFmtId="0" fontId="4" fillId="0" borderId="1" xfId="9" applyBorder="1" applyAlignment="1" applyProtection="1">
      <alignment horizontal="center"/>
      <protection hidden="1"/>
    </xf>
    <xf numFmtId="0" fontId="2" fillId="0" borderId="0" xfId="9" applyFont="1" applyAlignment="1" applyProtection="1">
      <alignment vertical="center" wrapText="1"/>
      <protection hidden="1"/>
    </xf>
    <xf numFmtId="0" fontId="4" fillId="0" borderId="0" xfId="9" applyAlignment="1" applyProtection="1">
      <alignment vertical="center" wrapText="1"/>
      <protection hidden="1"/>
    </xf>
    <xf numFmtId="0" fontId="60" fillId="0" borderId="0" xfId="0" applyFont="1" applyProtection="1">
      <protection hidden="1"/>
    </xf>
    <xf numFmtId="0" fontId="61" fillId="0" borderId="0" xfId="0" applyFont="1" applyProtection="1">
      <protection hidden="1"/>
    </xf>
    <xf numFmtId="0" fontId="4" fillId="4" borderId="0" xfId="0" applyFont="1" applyFill="1" applyAlignment="1" applyProtection="1">
      <alignment horizontal="left"/>
      <protection hidden="1"/>
    </xf>
    <xf numFmtId="0" fontId="62" fillId="0" borderId="0" xfId="0" applyFont="1" applyProtection="1">
      <protection hidden="1"/>
    </xf>
    <xf numFmtId="0" fontId="63" fillId="0" borderId="0" xfId="0" applyFont="1" applyProtection="1">
      <protection hidden="1"/>
    </xf>
    <xf numFmtId="0" fontId="63" fillId="5" borderId="0" xfId="0" applyFont="1" applyFill="1" applyProtection="1">
      <protection hidden="1"/>
    </xf>
    <xf numFmtId="0" fontId="0" fillId="5" borderId="0" xfId="0" applyFill="1" applyProtection="1">
      <protection hidden="1"/>
    </xf>
    <xf numFmtId="0" fontId="0" fillId="0" borderId="0" xfId="0" applyProtection="1">
      <protection hidden="1"/>
    </xf>
    <xf numFmtId="0" fontId="0" fillId="0" borderId="1" xfId="0" applyBorder="1" applyAlignment="1" applyProtection="1">
      <alignment horizontal="center"/>
      <protection hidden="1"/>
    </xf>
    <xf numFmtId="0" fontId="0" fillId="0" borderId="1" xfId="0" applyBorder="1" applyProtection="1">
      <protection hidden="1"/>
    </xf>
    <xf numFmtId="0" fontId="4" fillId="0" borderId="0" xfId="0" applyFont="1" applyProtection="1">
      <protection hidden="1"/>
    </xf>
    <xf numFmtId="0" fontId="0" fillId="0" borderId="0" xfId="0" applyAlignment="1" applyProtection="1">
      <alignment horizontal="center"/>
      <protection hidden="1"/>
    </xf>
    <xf numFmtId="0" fontId="63" fillId="5" borderId="0" xfId="0" applyFont="1" applyFill="1" applyAlignment="1" applyProtection="1">
      <alignment horizontal="right"/>
      <protection hidden="1"/>
    </xf>
    <xf numFmtId="0" fontId="2" fillId="0" borderId="0" xfId="0" applyFont="1" applyProtection="1">
      <protection hidden="1"/>
    </xf>
    <xf numFmtId="0" fontId="64" fillId="0" borderId="0" xfId="0" applyFont="1" applyProtection="1">
      <protection hidden="1"/>
    </xf>
    <xf numFmtId="0" fontId="2" fillId="5" borderId="0" xfId="9" applyFont="1" applyFill="1" applyAlignment="1" applyProtection="1">
      <alignment horizontal="center"/>
      <protection hidden="1"/>
    </xf>
    <xf numFmtId="0" fontId="65" fillId="5" borderId="0" xfId="0" applyFont="1" applyFill="1" applyProtection="1">
      <protection hidden="1"/>
    </xf>
    <xf numFmtId="0" fontId="5" fillId="0" borderId="0" xfId="0" applyFont="1" applyProtection="1">
      <protection hidden="1"/>
    </xf>
    <xf numFmtId="9" fontId="0" fillId="5" borderId="0" xfId="0" applyNumberFormat="1" applyFill="1" applyProtection="1">
      <protection hidden="1"/>
    </xf>
    <xf numFmtId="44" fontId="63" fillId="5" borderId="0" xfId="0" applyNumberFormat="1" applyFont="1" applyFill="1" applyProtection="1">
      <protection hidden="1"/>
    </xf>
    <xf numFmtId="0" fontId="24" fillId="5" borderId="0" xfId="0" applyFont="1" applyFill="1" applyProtection="1">
      <protection hidden="1"/>
    </xf>
    <xf numFmtId="0" fontId="4" fillId="0" borderId="3" xfId="0" applyFont="1" applyBorder="1" applyProtection="1">
      <protection hidden="1"/>
    </xf>
    <xf numFmtId="0" fontId="4" fillId="5" borderId="0" xfId="0" applyFont="1" applyFill="1" applyProtection="1">
      <protection hidden="1"/>
    </xf>
    <xf numFmtId="44" fontId="63" fillId="5" borderId="4" xfId="0" applyNumberFormat="1" applyFont="1" applyFill="1" applyBorder="1" applyProtection="1">
      <protection hidden="1"/>
    </xf>
    <xf numFmtId="0" fontId="5" fillId="0" borderId="0" xfId="9" applyFont="1" applyAlignment="1" applyProtection="1">
      <alignment vertical="center" wrapText="1"/>
      <protection hidden="1"/>
    </xf>
    <xf numFmtId="0" fontId="60" fillId="5" borderId="0" xfId="0" applyFont="1" applyFill="1" applyProtection="1">
      <protection hidden="1"/>
    </xf>
    <xf numFmtId="9" fontId="60" fillId="5" borderId="0" xfId="0" applyNumberFormat="1" applyFont="1" applyFill="1" applyProtection="1">
      <protection hidden="1"/>
    </xf>
    <xf numFmtId="44" fontId="60" fillId="5" borderId="0" xfId="0" applyNumberFormat="1" applyFont="1" applyFill="1" applyProtection="1">
      <protection hidden="1"/>
    </xf>
    <xf numFmtId="44" fontId="60" fillId="5" borderId="4" xfId="0" applyNumberFormat="1" applyFont="1" applyFill="1" applyBorder="1" applyProtection="1">
      <protection hidden="1"/>
    </xf>
    <xf numFmtId="9" fontId="63" fillId="5" borderId="0" xfId="0" applyNumberFormat="1" applyFont="1" applyFill="1" applyProtection="1">
      <protection hidden="1"/>
    </xf>
    <xf numFmtId="44" fontId="63" fillId="5" borderId="5" xfId="0" applyNumberFormat="1" applyFont="1" applyFill="1" applyBorder="1" applyProtection="1">
      <protection hidden="1"/>
    </xf>
    <xf numFmtId="0" fontId="63" fillId="0" borderId="0" xfId="0" applyFont="1" applyAlignment="1" applyProtection="1">
      <alignment horizontal="center"/>
      <protection hidden="1"/>
    </xf>
    <xf numFmtId="44" fontId="63" fillId="7" borderId="5" xfId="0" applyNumberFormat="1" applyFont="1" applyFill="1" applyBorder="1" applyProtection="1">
      <protection hidden="1"/>
    </xf>
    <xf numFmtId="0" fontId="63" fillId="7" borderId="0" xfId="0" applyFont="1" applyFill="1" applyProtection="1">
      <protection hidden="1"/>
    </xf>
    <xf numFmtId="44" fontId="63" fillId="5" borderId="0" xfId="4" applyFont="1" applyFill="1" applyProtection="1">
      <protection hidden="1"/>
    </xf>
    <xf numFmtId="44" fontId="0" fillId="0" borderId="1" xfId="5" applyFont="1" applyFill="1" applyBorder="1" applyProtection="1">
      <protection hidden="1"/>
    </xf>
    <xf numFmtId="0" fontId="4" fillId="0" borderId="0" xfId="0" applyFont="1" applyAlignment="1" applyProtection="1">
      <alignment horizontal="center"/>
      <protection hidden="1"/>
    </xf>
    <xf numFmtId="0" fontId="4" fillId="0" borderId="1" xfId="0" applyFont="1" applyBorder="1" applyAlignment="1" applyProtection="1">
      <alignment horizontal="center"/>
      <protection hidden="1"/>
    </xf>
    <xf numFmtId="0" fontId="4" fillId="0" borderId="6" xfId="0" applyFont="1" applyBorder="1" applyAlignment="1" applyProtection="1">
      <alignment horizontal="center"/>
      <protection hidden="1"/>
    </xf>
    <xf numFmtId="9" fontId="0" fillId="0" borderId="6" xfId="11" applyFont="1" applyFill="1" applyBorder="1" applyAlignment="1" applyProtection="1">
      <alignment horizontal="center"/>
      <protection hidden="1"/>
    </xf>
    <xf numFmtId="9" fontId="0" fillId="0" borderId="0" xfId="11" applyFont="1" applyBorder="1" applyAlignment="1" applyProtection="1">
      <alignment horizontal="center"/>
      <protection hidden="1"/>
    </xf>
    <xf numFmtId="9" fontId="0" fillId="0" borderId="1" xfId="11" applyFont="1" applyFill="1" applyBorder="1" applyAlignment="1" applyProtection="1">
      <alignment horizontal="center"/>
      <protection hidden="1"/>
    </xf>
    <xf numFmtId="9" fontId="0" fillId="0" borderId="0" xfId="11" applyFont="1" applyFill="1" applyBorder="1" applyAlignment="1" applyProtection="1">
      <alignment horizontal="center"/>
      <protection hidden="1"/>
    </xf>
    <xf numFmtId="0" fontId="4" fillId="0" borderId="0" xfId="0" applyFont="1" applyAlignment="1" applyProtection="1">
      <alignment horizontal="left"/>
      <protection hidden="1"/>
    </xf>
    <xf numFmtId="0" fontId="64" fillId="0" borderId="0" xfId="0" applyFont="1" applyAlignment="1" applyProtection="1">
      <alignment horizontal="left" vertical="center"/>
      <protection hidden="1"/>
    </xf>
    <xf numFmtId="0" fontId="63" fillId="5" borderId="0" xfId="0" applyFont="1" applyFill="1" applyAlignment="1" applyProtection="1">
      <alignment horizontal="center"/>
      <protection hidden="1"/>
    </xf>
    <xf numFmtId="0" fontId="63" fillId="5" borderId="0" xfId="0" applyFont="1" applyFill="1" applyAlignment="1" applyProtection="1">
      <alignment horizontal="left"/>
      <protection hidden="1"/>
    </xf>
    <xf numFmtId="0" fontId="4" fillId="5" borderId="0" xfId="0" applyFont="1" applyFill="1" applyAlignment="1" applyProtection="1">
      <alignment horizontal="center"/>
      <protection hidden="1"/>
    </xf>
    <xf numFmtId="0" fontId="0" fillId="0" borderId="0" xfId="0" applyAlignment="1" applyProtection="1">
      <alignment horizontal="center" vertical="center"/>
      <protection hidden="1"/>
    </xf>
    <xf numFmtId="44" fontId="0" fillId="5" borderId="0" xfId="0" applyNumberFormat="1" applyFill="1" applyProtection="1">
      <protection hidden="1"/>
    </xf>
    <xf numFmtId="9" fontId="0" fillId="5" borderId="0" xfId="0" applyNumberFormat="1" applyFill="1" applyAlignment="1" applyProtection="1">
      <alignment horizontal="center"/>
      <protection hidden="1"/>
    </xf>
    <xf numFmtId="0" fontId="0" fillId="5" borderId="0" xfId="0" applyFill="1" applyAlignment="1" applyProtection="1">
      <alignment horizontal="center"/>
      <protection hidden="1"/>
    </xf>
    <xf numFmtId="0" fontId="24" fillId="0" borderId="0" xfId="0" applyFont="1" applyProtection="1">
      <protection hidden="1"/>
    </xf>
    <xf numFmtId="44" fontId="0" fillId="5" borderId="4" xfId="0" applyNumberFormat="1" applyFill="1" applyBorder="1" applyProtection="1">
      <protection hidden="1"/>
    </xf>
    <xf numFmtId="44" fontId="4" fillId="5" borderId="0" xfId="0" applyNumberFormat="1" applyFont="1" applyFill="1" applyProtection="1">
      <protection hidden="1"/>
    </xf>
    <xf numFmtId="9" fontId="4" fillId="5" borderId="0" xfId="0" applyNumberFormat="1" applyFont="1" applyFill="1" applyAlignment="1" applyProtection="1">
      <alignment horizontal="center"/>
      <protection hidden="1"/>
    </xf>
    <xf numFmtId="0" fontId="60" fillId="5" borderId="0" xfId="0" applyFont="1" applyFill="1" applyAlignment="1" applyProtection="1">
      <alignment horizontal="center"/>
      <protection hidden="1"/>
    </xf>
    <xf numFmtId="44" fontId="4" fillId="5" borderId="4" xfId="0" applyNumberFormat="1" applyFont="1" applyFill="1" applyBorder="1" applyProtection="1">
      <protection hidden="1"/>
    </xf>
    <xf numFmtId="9" fontId="60" fillId="5" borderId="0" xfId="0" applyNumberFormat="1" applyFont="1" applyFill="1" applyAlignment="1" applyProtection="1">
      <alignment horizontal="center"/>
      <protection hidden="1"/>
    </xf>
    <xf numFmtId="0" fontId="65" fillId="0" borderId="0" xfId="0" applyFont="1" applyAlignment="1" applyProtection="1">
      <alignment horizontal="center"/>
      <protection hidden="1"/>
    </xf>
    <xf numFmtId="44" fontId="63" fillId="0" borderId="1" xfId="0" applyNumberFormat="1" applyFont="1" applyBorder="1" applyAlignment="1" applyProtection="1">
      <alignment horizontal="right"/>
      <protection hidden="1"/>
    </xf>
    <xf numFmtId="0" fontId="63" fillId="0" borderId="0" xfId="11" applyNumberFormat="1" applyFont="1" applyProtection="1">
      <protection hidden="1"/>
    </xf>
    <xf numFmtId="44" fontId="63" fillId="0" borderId="1" xfId="4" applyFont="1" applyFill="1" applyBorder="1" applyProtection="1">
      <protection hidden="1"/>
    </xf>
    <xf numFmtId="0" fontId="4" fillId="7" borderId="0" xfId="0" applyFont="1" applyFill="1" applyProtection="1">
      <protection hidden="1"/>
    </xf>
    <xf numFmtId="0" fontId="37" fillId="0" borderId="0" xfId="0" applyFont="1" applyAlignment="1" applyProtection="1">
      <alignment horizontal="left"/>
      <protection hidden="1"/>
    </xf>
    <xf numFmtId="9" fontId="63" fillId="0" borderId="0" xfId="11" applyFont="1" applyBorder="1" applyAlignment="1" applyProtection="1">
      <alignment horizontal="center"/>
      <protection hidden="1"/>
    </xf>
    <xf numFmtId="0" fontId="63" fillId="0" borderId="0" xfId="0" applyFont="1" applyAlignment="1" applyProtection="1">
      <alignment horizontal="left"/>
      <protection hidden="1"/>
    </xf>
    <xf numFmtId="9" fontId="63" fillId="0" borderId="0" xfId="11" applyFont="1" applyFill="1" applyBorder="1" applyAlignment="1" applyProtection="1">
      <alignment horizontal="center"/>
      <protection hidden="1"/>
    </xf>
    <xf numFmtId="0" fontId="66" fillId="0" borderId="0" xfId="0" applyFont="1" applyProtection="1">
      <protection hidden="1"/>
    </xf>
    <xf numFmtId="2" fontId="67" fillId="0" borderId="0" xfId="0" applyNumberFormat="1" applyFont="1" applyProtection="1">
      <protection hidden="1"/>
    </xf>
    <xf numFmtId="170" fontId="63" fillId="5" borderId="0" xfId="0" applyNumberFormat="1" applyFont="1" applyFill="1" applyProtection="1">
      <protection hidden="1"/>
    </xf>
    <xf numFmtId="44" fontId="0" fillId="8" borderId="0" xfId="0" applyNumberFormat="1" applyFill="1" applyProtection="1">
      <protection hidden="1"/>
    </xf>
    <xf numFmtId="0" fontId="67" fillId="0" borderId="0" xfId="0" applyFont="1" applyProtection="1">
      <protection hidden="1"/>
    </xf>
    <xf numFmtId="166" fontId="63" fillId="5" borderId="1" xfId="11" applyNumberFormat="1" applyFont="1" applyFill="1" applyBorder="1" applyProtection="1">
      <protection hidden="1"/>
    </xf>
    <xf numFmtId="0" fontId="0" fillId="7" borderId="0" xfId="0" applyFill="1" applyProtection="1">
      <protection hidden="1"/>
    </xf>
    <xf numFmtId="44" fontId="0" fillId="7" borderId="0" xfId="0" applyNumberFormat="1" applyFill="1" applyProtection="1">
      <protection hidden="1"/>
    </xf>
    <xf numFmtId="0" fontId="65" fillId="9" borderId="0" xfId="0" applyFont="1" applyFill="1" applyProtection="1">
      <protection hidden="1"/>
    </xf>
    <xf numFmtId="0" fontId="0" fillId="9" borderId="0" xfId="0" applyFill="1" applyProtection="1">
      <protection hidden="1"/>
    </xf>
    <xf numFmtId="0" fontId="63" fillId="9" borderId="0" xfId="0" applyFont="1" applyFill="1" applyProtection="1">
      <protection hidden="1"/>
    </xf>
    <xf numFmtId="10" fontId="63" fillId="6" borderId="1" xfId="11" applyNumberFormat="1" applyFont="1" applyFill="1" applyBorder="1" applyAlignment="1" applyProtection="1">
      <alignment horizontal="center"/>
      <protection hidden="1"/>
    </xf>
    <xf numFmtId="167" fontId="63" fillId="5" borderId="0" xfId="0" applyNumberFormat="1" applyFont="1" applyFill="1" applyAlignment="1" applyProtection="1">
      <alignment horizontal="center" vertical="center"/>
      <protection hidden="1"/>
    </xf>
    <xf numFmtId="44" fontId="63" fillId="10" borderId="1" xfId="0" applyNumberFormat="1" applyFont="1" applyFill="1" applyBorder="1" applyProtection="1">
      <protection hidden="1"/>
    </xf>
    <xf numFmtId="168" fontId="63" fillId="0" borderId="1" xfId="0" applyNumberFormat="1" applyFont="1" applyBorder="1" applyAlignment="1" applyProtection="1">
      <alignment horizontal="center"/>
      <protection hidden="1"/>
    </xf>
    <xf numFmtId="0" fontId="63" fillId="0" borderId="1" xfId="0" applyFont="1" applyBorder="1" applyAlignment="1" applyProtection="1">
      <alignment horizontal="center"/>
      <protection hidden="1"/>
    </xf>
    <xf numFmtId="0" fontId="0" fillId="0" borderId="0" xfId="0" applyAlignment="1" applyProtection="1">
      <alignment vertical="center"/>
      <protection hidden="1"/>
    </xf>
    <xf numFmtId="165" fontId="35" fillId="5" borderId="0" xfId="11" applyNumberFormat="1" applyFont="1" applyFill="1" applyProtection="1">
      <protection hidden="1"/>
    </xf>
    <xf numFmtId="44" fontId="63" fillId="11" borderId="5" xfId="0" applyNumberFormat="1" applyFont="1" applyFill="1" applyBorder="1" applyProtection="1">
      <protection hidden="1"/>
    </xf>
    <xf numFmtId="10" fontId="0" fillId="5" borderId="0" xfId="0" applyNumberFormat="1" applyFill="1" applyProtection="1">
      <protection hidden="1"/>
    </xf>
    <xf numFmtId="172" fontId="0" fillId="5" borderId="0" xfId="0" applyNumberFormat="1" applyFill="1" applyProtection="1">
      <protection hidden="1"/>
    </xf>
    <xf numFmtId="0" fontId="24" fillId="11" borderId="0" xfId="0" applyFont="1" applyFill="1" applyProtection="1">
      <protection hidden="1"/>
    </xf>
    <xf numFmtId="0" fontId="63" fillId="11" borderId="0" xfId="0" applyFont="1" applyFill="1" applyProtection="1">
      <protection hidden="1"/>
    </xf>
    <xf numFmtId="44" fontId="0" fillId="11" borderId="5" xfId="0" applyNumberFormat="1" applyFill="1" applyBorder="1" applyProtection="1">
      <protection hidden="1"/>
    </xf>
    <xf numFmtId="44" fontId="0" fillId="11" borderId="0" xfId="0" applyNumberFormat="1" applyFill="1" applyProtection="1">
      <protection hidden="1"/>
    </xf>
    <xf numFmtId="166" fontId="63" fillId="11" borderId="0" xfId="11" applyNumberFormat="1" applyFont="1" applyFill="1" applyProtection="1">
      <protection hidden="1"/>
    </xf>
    <xf numFmtId="0" fontId="24" fillId="7" borderId="0" xfId="0" applyFont="1" applyFill="1" applyProtection="1">
      <protection hidden="1"/>
    </xf>
    <xf numFmtId="0" fontId="24" fillId="5" borderId="0" xfId="0" applyFont="1" applyFill="1" applyAlignment="1" applyProtection="1">
      <alignment horizontal="center"/>
      <protection hidden="1"/>
    </xf>
    <xf numFmtId="0" fontId="24" fillId="5" borderId="0" xfId="0" applyFont="1" applyFill="1" applyAlignment="1" applyProtection="1">
      <alignment horizontal="left"/>
      <protection hidden="1"/>
    </xf>
    <xf numFmtId="0" fontId="0" fillId="11" borderId="0" xfId="0" applyFill="1" applyProtection="1">
      <protection hidden="1"/>
    </xf>
    <xf numFmtId="10" fontId="40" fillId="11" borderId="0" xfId="11" applyNumberFormat="1" applyFont="1" applyFill="1" applyProtection="1">
      <protection hidden="1"/>
    </xf>
    <xf numFmtId="44" fontId="0" fillId="5" borderId="5" xfId="0" applyNumberFormat="1" applyFill="1" applyBorder="1" applyProtection="1">
      <protection hidden="1"/>
    </xf>
    <xf numFmtId="44" fontId="0" fillId="11" borderId="0" xfId="0" applyNumberFormat="1" applyFill="1" applyAlignment="1" applyProtection="1">
      <alignment horizontal="right"/>
      <protection hidden="1"/>
    </xf>
    <xf numFmtId="10" fontId="36" fillId="11" borderId="0" xfId="11" applyNumberFormat="1" applyFont="1" applyFill="1" applyAlignment="1" applyProtection="1">
      <alignment horizontal="right"/>
      <protection hidden="1"/>
    </xf>
    <xf numFmtId="44" fontId="0" fillId="7" borderId="5" xfId="0" applyNumberFormat="1" applyFill="1" applyBorder="1" applyProtection="1">
      <protection hidden="1"/>
    </xf>
    <xf numFmtId="164" fontId="0" fillId="5" borderId="0" xfId="0" applyNumberFormat="1" applyFill="1" applyProtection="1">
      <protection hidden="1"/>
    </xf>
    <xf numFmtId="2" fontId="0" fillId="5" borderId="0" xfId="0" applyNumberFormat="1" applyFill="1" applyProtection="1">
      <protection hidden="1"/>
    </xf>
    <xf numFmtId="168" fontId="0" fillId="5" borderId="0" xfId="0" applyNumberFormat="1" applyFill="1" applyProtection="1">
      <protection hidden="1"/>
    </xf>
    <xf numFmtId="170" fontId="0" fillId="5" borderId="0" xfId="0" applyNumberFormat="1" applyFill="1" applyProtection="1">
      <protection hidden="1"/>
    </xf>
    <xf numFmtId="0" fontId="5" fillId="0" borderId="0" xfId="0" applyFont="1" applyAlignment="1" applyProtection="1">
      <alignment horizontal="left"/>
      <protection hidden="1"/>
    </xf>
    <xf numFmtId="0" fontId="1" fillId="4" borderId="0" xfId="0" applyFont="1" applyFill="1" applyAlignment="1" applyProtection="1">
      <alignment horizontal="center"/>
      <protection hidden="1"/>
    </xf>
    <xf numFmtId="0" fontId="0" fillId="4" borderId="0" xfId="0" applyFill="1" applyProtection="1">
      <protection hidden="1"/>
    </xf>
    <xf numFmtId="0" fontId="5" fillId="0" borderId="0" xfId="0" applyFont="1" applyAlignment="1" applyProtection="1">
      <alignment horizontal="center"/>
      <protection hidden="1"/>
    </xf>
    <xf numFmtId="0" fontId="2" fillId="0" borderId="1" xfId="0" applyFont="1" applyBorder="1" applyAlignment="1" applyProtection="1">
      <alignment horizontal="center"/>
      <protection hidden="1"/>
    </xf>
    <xf numFmtId="44" fontId="0" fillId="0" borderId="0" xfId="4" applyFont="1" applyProtection="1">
      <protection hidden="1"/>
    </xf>
    <xf numFmtId="0" fontId="2" fillId="0" borderId="0" xfId="0" applyFont="1" applyAlignment="1" applyProtection="1">
      <alignment horizontal="left"/>
      <protection hidden="1"/>
    </xf>
    <xf numFmtId="166" fontId="1" fillId="4" borderId="1" xfId="11" applyNumberFormat="1" applyFont="1" applyFill="1" applyBorder="1" applyAlignment="1" applyProtection="1">
      <alignment horizontal="center"/>
      <protection hidden="1"/>
    </xf>
    <xf numFmtId="9" fontId="1" fillId="4" borderId="1" xfId="11" applyFont="1" applyFill="1" applyBorder="1" applyAlignment="1" applyProtection="1">
      <alignment horizontal="center"/>
      <protection hidden="1"/>
    </xf>
    <xf numFmtId="0" fontId="1" fillId="4" borderId="0" xfId="0" applyFont="1" applyFill="1" applyProtection="1">
      <protection hidden="1"/>
    </xf>
    <xf numFmtId="0" fontId="0" fillId="4" borderId="0" xfId="0" applyFill="1" applyAlignment="1" applyProtection="1">
      <alignment horizontal="center"/>
      <protection hidden="1"/>
    </xf>
    <xf numFmtId="44" fontId="0" fillId="4" borderId="0" xfId="0" applyNumberFormat="1" applyFill="1" applyProtection="1">
      <protection hidden="1"/>
    </xf>
    <xf numFmtId="0" fontId="10" fillId="4" borderId="0" xfId="10" applyFont="1" applyFill="1" applyAlignment="1" applyProtection="1">
      <alignment horizontal="center"/>
      <protection hidden="1"/>
    </xf>
    <xf numFmtId="0" fontId="0" fillId="4" borderId="0" xfId="0" quotePrefix="1" applyFill="1" applyProtection="1">
      <protection hidden="1"/>
    </xf>
    <xf numFmtId="10" fontId="26" fillId="4" borderId="0" xfId="11" applyNumberFormat="1" applyFont="1" applyFill="1" applyProtection="1">
      <protection hidden="1"/>
    </xf>
    <xf numFmtId="0" fontId="2" fillId="0" borderId="0" xfId="0" applyFont="1" applyAlignment="1" applyProtection="1">
      <alignment vertical="center" wrapText="1"/>
      <protection hidden="1"/>
    </xf>
    <xf numFmtId="0" fontId="0" fillId="4" borderId="0" xfId="0" applyFill="1" applyAlignment="1" applyProtection="1">
      <alignment horizontal="left"/>
      <protection hidden="1"/>
    </xf>
    <xf numFmtId="1" fontId="0" fillId="4" borderId="0" xfId="0" applyNumberFormat="1" applyFill="1" applyProtection="1">
      <protection hidden="1"/>
    </xf>
    <xf numFmtId="44" fontId="0" fillId="0" borderId="1" xfId="4" applyFont="1" applyFill="1" applyBorder="1" applyProtection="1">
      <protection hidden="1"/>
    </xf>
    <xf numFmtId="164" fontId="1" fillId="4" borderId="0" xfId="4" applyNumberFormat="1" applyFont="1" applyFill="1" applyProtection="1">
      <protection hidden="1"/>
    </xf>
    <xf numFmtId="0" fontId="2" fillId="4" borderId="0" xfId="0" applyFont="1" applyFill="1" applyProtection="1">
      <protection hidden="1"/>
    </xf>
    <xf numFmtId="44" fontId="0" fillId="0" borderId="1" xfId="4" applyFont="1" applyBorder="1" applyProtection="1">
      <protection hidden="1"/>
    </xf>
    <xf numFmtId="0" fontId="4" fillId="4" borderId="0" xfId="0" applyFont="1" applyFill="1" applyProtection="1">
      <protection hidden="1"/>
    </xf>
    <xf numFmtId="0" fontId="4" fillId="12" borderId="7" xfId="0" applyFont="1" applyFill="1" applyBorder="1" applyProtection="1">
      <protection hidden="1"/>
    </xf>
    <xf numFmtId="0" fontId="0" fillId="12" borderId="8" xfId="0" applyFill="1" applyBorder="1" applyProtection="1">
      <protection hidden="1"/>
    </xf>
    <xf numFmtId="0" fontId="24" fillId="4" borderId="0" xfId="0" applyFont="1" applyFill="1" applyProtection="1">
      <protection hidden="1"/>
    </xf>
    <xf numFmtId="0" fontId="9" fillId="4" borderId="0" xfId="0" applyFont="1" applyFill="1" applyProtection="1">
      <protection hidden="1"/>
    </xf>
    <xf numFmtId="0" fontId="10" fillId="4" borderId="0" xfId="0" applyFont="1" applyFill="1" applyProtection="1">
      <protection hidden="1"/>
    </xf>
    <xf numFmtId="0" fontId="68" fillId="4" borderId="0" xfId="0" applyFont="1" applyFill="1" applyAlignment="1" applyProtection="1">
      <alignment horizontal="center"/>
      <protection hidden="1"/>
    </xf>
    <xf numFmtId="0" fontId="10" fillId="4" borderId="0" xfId="0" applyFont="1" applyFill="1" applyAlignment="1" applyProtection="1">
      <alignment horizontal="center"/>
      <protection hidden="1"/>
    </xf>
    <xf numFmtId="0" fontId="47" fillId="4" borderId="0" xfId="0" applyFont="1" applyFill="1" applyAlignment="1" applyProtection="1">
      <alignment horizontal="center"/>
      <protection hidden="1"/>
    </xf>
    <xf numFmtId="0" fontId="0" fillId="12" borderId="9" xfId="0" applyFill="1" applyBorder="1" applyProtection="1">
      <protection hidden="1"/>
    </xf>
    <xf numFmtId="0" fontId="0" fillId="12" borderId="3" xfId="0" applyFill="1" applyBorder="1" applyProtection="1">
      <protection hidden="1"/>
    </xf>
    <xf numFmtId="0" fontId="68" fillId="4" borderId="0" xfId="0" applyFont="1" applyFill="1" applyProtection="1">
      <protection hidden="1"/>
    </xf>
    <xf numFmtId="44" fontId="10" fillId="4" borderId="0" xfId="4" applyFont="1" applyFill="1" applyBorder="1" applyAlignment="1" applyProtection="1">
      <alignment horizontal="center"/>
      <protection hidden="1"/>
    </xf>
    <xf numFmtId="0" fontId="0" fillId="0" borderId="0" xfId="0" applyAlignment="1" applyProtection="1">
      <alignment horizontal="left"/>
      <protection hidden="1"/>
    </xf>
    <xf numFmtId="44" fontId="0" fillId="0" borderId="0" xfId="0" applyNumberFormat="1" applyAlignment="1" applyProtection="1">
      <alignment horizontal="center"/>
      <protection hidden="1"/>
    </xf>
    <xf numFmtId="0" fontId="0" fillId="12" borderId="10" xfId="0" applyFill="1" applyBorder="1" applyProtection="1">
      <protection hidden="1"/>
    </xf>
    <xf numFmtId="0" fontId="0" fillId="12" borderId="11" xfId="0" applyFill="1" applyBorder="1" applyProtection="1">
      <protection hidden="1"/>
    </xf>
    <xf numFmtId="0" fontId="9" fillId="4" borderId="0" xfId="0" applyFont="1" applyFill="1" applyAlignment="1" applyProtection="1">
      <alignment horizontal="left"/>
      <protection hidden="1"/>
    </xf>
    <xf numFmtId="164" fontId="10" fillId="4" borderId="7" xfId="4" applyNumberFormat="1" applyFont="1" applyFill="1" applyBorder="1" applyProtection="1">
      <protection hidden="1"/>
    </xf>
    <xf numFmtId="0" fontId="10" fillId="4" borderId="4" xfId="0" applyFont="1" applyFill="1" applyBorder="1" applyProtection="1">
      <protection hidden="1"/>
    </xf>
    <xf numFmtId="0" fontId="68" fillId="4" borderId="4" xfId="0" applyFont="1" applyFill="1" applyBorder="1" applyProtection="1">
      <protection hidden="1"/>
    </xf>
    <xf numFmtId="0" fontId="10" fillId="4" borderId="8" xfId="0" applyFont="1" applyFill="1" applyBorder="1" applyProtection="1">
      <protection hidden="1"/>
    </xf>
    <xf numFmtId="0" fontId="47" fillId="4" borderId="12" xfId="0" applyFont="1" applyFill="1" applyBorder="1" applyAlignment="1" applyProtection="1">
      <alignment horizontal="left"/>
      <protection hidden="1"/>
    </xf>
    <xf numFmtId="0" fontId="0" fillId="4" borderId="12" xfId="0" applyFill="1" applyBorder="1" applyAlignment="1" applyProtection="1">
      <alignment horizontal="center"/>
      <protection hidden="1"/>
    </xf>
    <xf numFmtId="0" fontId="10" fillId="4" borderId="0" xfId="0" applyFont="1" applyFill="1" applyAlignment="1" applyProtection="1">
      <alignment horizontal="left"/>
      <protection hidden="1"/>
    </xf>
    <xf numFmtId="44" fontId="68" fillId="4" borderId="9" xfId="4" applyFont="1" applyFill="1" applyBorder="1" applyProtection="1">
      <protection hidden="1"/>
    </xf>
    <xf numFmtId="44" fontId="10" fillId="4" borderId="0" xfId="4" applyFont="1" applyFill="1" applyBorder="1" applyProtection="1">
      <protection hidden="1"/>
    </xf>
    <xf numFmtId="44" fontId="68" fillId="4" borderId="0" xfId="4" applyFont="1" applyFill="1" applyBorder="1" applyProtection="1">
      <protection hidden="1"/>
    </xf>
    <xf numFmtId="44" fontId="10" fillId="4" borderId="3" xfId="4" applyFont="1" applyFill="1" applyBorder="1" applyProtection="1">
      <protection hidden="1"/>
    </xf>
    <xf numFmtId="44" fontId="9" fillId="4" borderId="0" xfId="4" applyFont="1" applyFill="1" applyBorder="1" applyProtection="1">
      <protection hidden="1"/>
    </xf>
    <xf numFmtId="164" fontId="1" fillId="4" borderId="0" xfId="0" applyNumberFormat="1" applyFont="1" applyFill="1" applyProtection="1">
      <protection hidden="1"/>
    </xf>
    <xf numFmtId="44" fontId="4" fillId="4" borderId="0" xfId="0" applyNumberFormat="1" applyFont="1" applyFill="1" applyAlignment="1" applyProtection="1">
      <alignment horizontal="left"/>
      <protection hidden="1"/>
    </xf>
    <xf numFmtId="0" fontId="4" fillId="0" borderId="0" xfId="0" applyFont="1" applyAlignment="1" applyProtection="1">
      <alignment vertical="center" wrapText="1"/>
      <protection hidden="1"/>
    </xf>
    <xf numFmtId="164" fontId="1" fillId="4" borderId="0" xfId="4" applyNumberFormat="1" applyFont="1" applyFill="1" applyAlignment="1" applyProtection="1">
      <alignment horizontal="left"/>
      <protection hidden="1"/>
    </xf>
    <xf numFmtId="0" fontId="2" fillId="0" borderId="0" xfId="4" applyNumberFormat="1" applyFont="1" applyProtection="1">
      <protection hidden="1"/>
    </xf>
    <xf numFmtId="164" fontId="1" fillId="4" borderId="0" xfId="4" applyNumberFormat="1" applyFont="1" applyFill="1" applyBorder="1" applyProtection="1">
      <protection hidden="1"/>
    </xf>
    <xf numFmtId="167" fontId="0" fillId="4" borderId="0" xfId="0" applyNumberFormat="1" applyFill="1" applyAlignment="1" applyProtection="1">
      <alignment horizontal="left"/>
      <protection hidden="1"/>
    </xf>
    <xf numFmtId="174" fontId="0" fillId="0" borderId="1" xfId="4" applyNumberFormat="1" applyFont="1" applyFill="1" applyBorder="1" applyProtection="1">
      <protection hidden="1"/>
    </xf>
    <xf numFmtId="44" fontId="1" fillId="4" borderId="0" xfId="4" applyFont="1" applyFill="1" applyProtection="1">
      <protection hidden="1"/>
    </xf>
    <xf numFmtId="0" fontId="68" fillId="4" borderId="10" xfId="0" applyFont="1" applyFill="1" applyBorder="1" applyProtection="1">
      <protection hidden="1"/>
    </xf>
    <xf numFmtId="0" fontId="10" fillId="4" borderId="12" xfId="0" applyFont="1" applyFill="1" applyBorder="1" applyProtection="1">
      <protection hidden="1"/>
    </xf>
    <xf numFmtId="0" fontId="0" fillId="4" borderId="12" xfId="0" applyFill="1" applyBorder="1" applyProtection="1">
      <protection hidden="1"/>
    </xf>
    <xf numFmtId="0" fontId="60" fillId="4" borderId="12" xfId="0" applyFont="1" applyFill="1" applyBorder="1" applyProtection="1">
      <protection hidden="1"/>
    </xf>
    <xf numFmtId="0" fontId="0" fillId="4" borderId="11" xfId="0" applyFill="1" applyBorder="1" applyProtection="1">
      <protection hidden="1"/>
    </xf>
    <xf numFmtId="164" fontId="4" fillId="4" borderId="0" xfId="4" applyNumberFormat="1" applyFont="1" applyFill="1" applyBorder="1" applyProtection="1">
      <protection hidden="1"/>
    </xf>
    <xf numFmtId="0" fontId="0" fillId="4" borderId="4" xfId="0" applyFill="1" applyBorder="1" applyAlignment="1" applyProtection="1">
      <alignment horizontal="center"/>
      <protection hidden="1"/>
    </xf>
    <xf numFmtId="0" fontId="0" fillId="4" borderId="9" xfId="0" applyFill="1" applyBorder="1" applyAlignment="1" applyProtection="1">
      <alignment horizontal="left"/>
      <protection hidden="1"/>
    </xf>
    <xf numFmtId="0" fontId="0" fillId="4" borderId="3" xfId="0" applyFill="1" applyBorder="1" applyAlignment="1" applyProtection="1">
      <alignment horizontal="center"/>
      <protection hidden="1"/>
    </xf>
    <xf numFmtId="9" fontId="0" fillId="0" borderId="8" xfId="11" applyFont="1" applyBorder="1" applyAlignment="1" applyProtection="1">
      <alignment horizontal="center"/>
      <protection hidden="1"/>
    </xf>
    <xf numFmtId="164" fontId="4" fillId="0" borderId="1" xfId="4" applyNumberFormat="1" applyFont="1" applyFill="1" applyBorder="1" applyAlignment="1" applyProtection="1">
      <alignment horizontal="center"/>
      <protection hidden="1"/>
    </xf>
    <xf numFmtId="9" fontId="0" fillId="0" borderId="11" xfId="11" applyFont="1" applyFill="1" applyBorder="1" applyAlignment="1" applyProtection="1">
      <alignment horizontal="center"/>
      <protection hidden="1"/>
    </xf>
    <xf numFmtId="0" fontId="0" fillId="4" borderId="0" xfId="0" applyFill="1" applyAlignment="1" applyProtection="1">
      <alignment horizontal="right"/>
      <protection hidden="1"/>
    </xf>
    <xf numFmtId="169" fontId="0" fillId="4" borderId="0" xfId="0" applyNumberFormat="1" applyFill="1" applyProtection="1">
      <protection hidden="1"/>
    </xf>
    <xf numFmtId="44" fontId="0" fillId="2" borderId="1" xfId="4" applyFont="1" applyFill="1" applyBorder="1" applyProtection="1">
      <protection locked="0" hidden="1"/>
    </xf>
    <xf numFmtId="0" fontId="24" fillId="4" borderId="0" xfId="0" applyFont="1" applyFill="1" applyAlignment="1" applyProtection="1">
      <alignment horizontal="right"/>
      <protection hidden="1"/>
    </xf>
    <xf numFmtId="0" fontId="0" fillId="4" borderId="10" xfId="0" applyFill="1" applyBorder="1" applyProtection="1">
      <protection hidden="1"/>
    </xf>
    <xf numFmtId="0" fontId="0" fillId="4" borderId="11" xfId="0" applyFill="1" applyBorder="1" applyAlignment="1" applyProtection="1">
      <alignment horizontal="center"/>
      <protection hidden="1"/>
    </xf>
    <xf numFmtId="44" fontId="0" fillId="0" borderId="0" xfId="0" applyNumberFormat="1" applyProtection="1">
      <protection hidden="1"/>
    </xf>
    <xf numFmtId="0" fontId="4" fillId="0" borderId="3" xfId="0" applyFont="1" applyBorder="1" applyAlignment="1" applyProtection="1">
      <alignment horizontal="left"/>
      <protection hidden="1"/>
    </xf>
    <xf numFmtId="44" fontId="1" fillId="0" borderId="0" xfId="4" applyFont="1" applyFill="1" applyBorder="1" applyProtection="1">
      <protection hidden="1"/>
    </xf>
    <xf numFmtId="44" fontId="4" fillId="4" borderId="13" xfId="0" applyNumberFormat="1" applyFont="1" applyFill="1" applyBorder="1" applyProtection="1">
      <protection hidden="1"/>
    </xf>
    <xf numFmtId="44" fontId="4" fillId="4" borderId="14" xfId="0" applyNumberFormat="1" applyFont="1" applyFill="1" applyBorder="1" applyProtection="1">
      <protection hidden="1"/>
    </xf>
    <xf numFmtId="44" fontId="16" fillId="13" borderId="1" xfId="4" applyFont="1" applyFill="1" applyBorder="1" applyProtection="1">
      <protection hidden="1"/>
    </xf>
    <xf numFmtId="44" fontId="4" fillId="4" borderId="6" xfId="0" applyNumberFormat="1" applyFont="1" applyFill="1" applyBorder="1" applyProtection="1">
      <protection hidden="1"/>
    </xf>
    <xf numFmtId="44" fontId="4" fillId="0" borderId="1" xfId="0" applyNumberFormat="1" applyFont="1" applyBorder="1" applyProtection="1">
      <protection hidden="1"/>
    </xf>
    <xf numFmtId="0" fontId="60" fillId="4" borderId="0" xfId="0" applyFont="1" applyFill="1" applyProtection="1">
      <protection hidden="1"/>
    </xf>
    <xf numFmtId="2" fontId="2" fillId="4" borderId="0" xfId="0" applyNumberFormat="1" applyFont="1" applyFill="1" applyProtection="1">
      <protection hidden="1"/>
    </xf>
    <xf numFmtId="0" fontId="11" fillId="0" borderId="0" xfId="0" applyFont="1" applyProtection="1">
      <protection hidden="1"/>
    </xf>
    <xf numFmtId="44" fontId="4" fillId="0" borderId="0" xfId="0" applyNumberFormat="1" applyFont="1" applyAlignment="1" applyProtection="1">
      <alignment horizontal="center"/>
      <protection hidden="1"/>
    </xf>
    <xf numFmtId="2" fontId="4" fillId="4" borderId="0" xfId="0" applyNumberFormat="1" applyFont="1" applyFill="1" applyProtection="1">
      <protection hidden="1"/>
    </xf>
    <xf numFmtId="44" fontId="2" fillId="0" borderId="0" xfId="0" applyNumberFormat="1" applyFont="1" applyProtection="1">
      <protection hidden="1"/>
    </xf>
    <xf numFmtId="10" fontId="0" fillId="0" borderId="1" xfId="11" applyNumberFormat="1" applyFont="1" applyBorder="1" applyAlignment="1" applyProtection="1">
      <alignment horizontal="center"/>
      <protection hidden="1"/>
    </xf>
    <xf numFmtId="44" fontId="2" fillId="4" borderId="0" xfId="4" applyFont="1" applyFill="1" applyProtection="1">
      <protection hidden="1"/>
    </xf>
    <xf numFmtId="10" fontId="0" fillId="0" borderId="0" xfId="11" applyNumberFormat="1" applyFont="1" applyBorder="1" applyAlignment="1" applyProtection="1">
      <alignment horizontal="center"/>
      <protection hidden="1"/>
    </xf>
    <xf numFmtId="0" fontId="2" fillId="0" borderId="0" xfId="0" applyFont="1" applyAlignment="1" applyProtection="1">
      <alignment horizontal="center"/>
      <protection hidden="1"/>
    </xf>
    <xf numFmtId="164" fontId="2" fillId="4" borderId="0" xfId="4" applyNumberFormat="1" applyFont="1" applyFill="1" applyProtection="1">
      <protection hidden="1"/>
    </xf>
    <xf numFmtId="2" fontId="60" fillId="4" borderId="0" xfId="0" applyNumberFormat="1" applyFont="1" applyFill="1" applyProtection="1">
      <protection hidden="1"/>
    </xf>
    <xf numFmtId="44" fontId="2" fillId="0" borderId="0" xfId="4" applyFont="1" applyProtection="1">
      <protection hidden="1"/>
    </xf>
    <xf numFmtId="0" fontId="6" fillId="0" borderId="0" xfId="0" applyFont="1" applyAlignment="1" applyProtection="1">
      <alignment vertical="center" wrapText="1"/>
      <protection hidden="1"/>
    </xf>
    <xf numFmtId="164" fontId="17" fillId="4" borderId="0" xfId="4" applyNumberFormat="1" applyFont="1" applyFill="1" applyProtection="1">
      <protection hidden="1"/>
    </xf>
    <xf numFmtId="44" fontId="4" fillId="0" borderId="0" xfId="4" applyFont="1" applyProtection="1">
      <protection hidden="1"/>
    </xf>
    <xf numFmtId="0" fontId="69" fillId="0" borderId="0" xfId="0" applyFont="1" applyProtection="1">
      <protection hidden="1"/>
    </xf>
    <xf numFmtId="164" fontId="60" fillId="4" borderId="0" xfId="4" applyNumberFormat="1" applyFont="1" applyFill="1" applyBorder="1" applyProtection="1">
      <protection hidden="1"/>
    </xf>
    <xf numFmtId="44" fontId="2" fillId="0" borderId="1" xfId="4" applyFont="1" applyBorder="1" applyAlignment="1" applyProtection="1">
      <alignment horizontal="center"/>
      <protection hidden="1"/>
    </xf>
    <xf numFmtId="0" fontId="60" fillId="0" borderId="0" xfId="0" applyFont="1" applyAlignment="1" applyProtection="1">
      <alignment horizontal="center"/>
      <protection hidden="1"/>
    </xf>
    <xf numFmtId="0" fontId="69" fillId="0" borderId="0" xfId="0" applyFont="1" applyAlignment="1" applyProtection="1">
      <alignment horizontal="center" vertical="center" wrapText="1"/>
      <protection hidden="1"/>
    </xf>
    <xf numFmtId="0" fontId="69" fillId="0" borderId="0" xfId="0" applyFont="1" applyAlignment="1" applyProtection="1">
      <alignment horizontal="center" vertical="center"/>
      <protection hidden="1"/>
    </xf>
    <xf numFmtId="44" fontId="4" fillId="0" borderId="1" xfId="4" applyFont="1" applyBorder="1" applyProtection="1">
      <protection hidden="1"/>
    </xf>
    <xf numFmtId="0" fontId="69" fillId="0" borderId="0" xfId="0" applyFont="1" applyAlignment="1" applyProtection="1">
      <alignment horizontal="center"/>
      <protection hidden="1"/>
    </xf>
    <xf numFmtId="2" fontId="60" fillId="0" borderId="0" xfId="0" applyNumberFormat="1" applyFont="1" applyAlignment="1" applyProtection="1">
      <alignment horizontal="center"/>
      <protection hidden="1"/>
    </xf>
    <xf numFmtId="164" fontId="69" fillId="4" borderId="0" xfId="4" applyNumberFormat="1" applyFont="1" applyFill="1" applyBorder="1" applyAlignment="1" applyProtection="1">
      <alignment horizontal="center"/>
      <protection hidden="1"/>
    </xf>
    <xf numFmtId="0" fontId="69" fillId="4" borderId="0" xfId="0" applyFont="1" applyFill="1" applyAlignment="1" applyProtection="1">
      <alignment horizontal="center"/>
      <protection hidden="1"/>
    </xf>
    <xf numFmtId="164" fontId="4" fillId="4" borderId="0" xfId="4" applyNumberFormat="1" applyFont="1" applyFill="1" applyBorder="1" applyAlignment="1" applyProtection="1">
      <alignment horizontal="center"/>
      <protection hidden="1"/>
    </xf>
    <xf numFmtId="44" fontId="2" fillId="0" borderId="1" xfId="0" applyNumberFormat="1" applyFont="1" applyBorder="1" applyProtection="1">
      <protection hidden="1"/>
    </xf>
    <xf numFmtId="44" fontId="2" fillId="0" borderId="1" xfId="4" applyFont="1" applyBorder="1" applyProtection="1">
      <protection hidden="1"/>
    </xf>
    <xf numFmtId="164" fontId="2" fillId="4" borderId="0" xfId="4" applyNumberFormat="1" applyFont="1" applyFill="1" applyBorder="1" applyProtection="1">
      <protection hidden="1"/>
    </xf>
    <xf numFmtId="44" fontId="0" fillId="0" borderId="1" xfId="0" applyNumberFormat="1" applyBorder="1" applyAlignment="1" applyProtection="1">
      <alignment horizontal="center"/>
      <protection hidden="1"/>
    </xf>
    <xf numFmtId="44" fontId="2" fillId="0" borderId="1" xfId="0" applyNumberFormat="1" applyFont="1" applyBorder="1" applyAlignment="1" applyProtection="1">
      <alignment horizontal="center"/>
      <protection hidden="1"/>
    </xf>
    <xf numFmtId="0" fontId="2" fillId="0" borderId="0" xfId="0" applyFont="1" applyAlignment="1" applyProtection="1">
      <alignment vertical="center"/>
      <protection hidden="1"/>
    </xf>
    <xf numFmtId="44" fontId="4" fillId="0" borderId="0" xfId="4" applyFont="1" applyBorder="1" applyProtection="1">
      <protection hidden="1"/>
    </xf>
    <xf numFmtId="0" fontId="2" fillId="0" borderId="0" xfId="0" applyFont="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164" fontId="0" fillId="2" borderId="1" xfId="4" applyNumberFormat="1" applyFont="1" applyFill="1" applyBorder="1" applyAlignment="1" applyProtection="1">
      <alignment horizontal="center"/>
      <protection hidden="1"/>
    </xf>
    <xf numFmtId="172" fontId="0" fillId="2" borderId="1" xfId="4" applyNumberFormat="1" applyFont="1" applyFill="1" applyBorder="1" applyAlignment="1" applyProtection="1">
      <alignment horizontal="center"/>
      <protection hidden="1"/>
    </xf>
    <xf numFmtId="10" fontId="4" fillId="2" borderId="1" xfId="11" applyNumberFormat="1" applyFont="1" applyFill="1" applyBorder="1" applyAlignment="1" applyProtection="1">
      <alignment horizontal="center"/>
      <protection hidden="1"/>
    </xf>
    <xf numFmtId="10" fontId="2" fillId="0" borderId="1" xfId="11" applyNumberFormat="1" applyFont="1" applyBorder="1" applyAlignment="1" applyProtection="1">
      <alignment horizontal="center"/>
      <protection hidden="1"/>
    </xf>
    <xf numFmtId="44" fontId="0" fillId="0" borderId="1" xfId="4" applyFont="1" applyBorder="1" applyAlignment="1" applyProtection="1">
      <alignment horizontal="center"/>
      <protection hidden="1"/>
    </xf>
    <xf numFmtId="164" fontId="10" fillId="4" borderId="0" xfId="4" applyNumberFormat="1" applyFont="1" applyFill="1" applyAlignment="1" applyProtection="1">
      <alignment horizontal="center"/>
      <protection hidden="1"/>
    </xf>
    <xf numFmtId="0" fontId="46" fillId="4" borderId="0" xfId="0" applyFont="1" applyFill="1" applyAlignment="1" applyProtection="1">
      <alignment horizontal="center"/>
      <protection hidden="1"/>
    </xf>
    <xf numFmtId="44" fontId="0" fillId="0" borderId="1" xfId="4" applyFont="1" applyBorder="1" applyAlignment="1" applyProtection="1">
      <protection hidden="1"/>
    </xf>
    <xf numFmtId="0" fontId="2" fillId="0" borderId="1" xfId="0" applyFont="1" applyBorder="1" applyProtection="1">
      <protection hidden="1"/>
    </xf>
    <xf numFmtId="164" fontId="0" fillId="0" borderId="1" xfId="4" applyNumberFormat="1" applyFont="1" applyBorder="1" applyProtection="1">
      <protection hidden="1"/>
    </xf>
    <xf numFmtId="44" fontId="0" fillId="0" borderId="0" xfId="4" applyFont="1" applyBorder="1" applyAlignment="1" applyProtection="1">
      <alignment horizontal="center"/>
      <protection hidden="1"/>
    </xf>
    <xf numFmtId="10" fontId="0" fillId="0" borderId="1" xfId="11" applyNumberFormat="1" applyFont="1" applyBorder="1" applyProtection="1">
      <protection hidden="1"/>
    </xf>
    <xf numFmtId="10" fontId="0" fillId="0" borderId="1" xfId="11" applyNumberFormat="1" applyFont="1" applyBorder="1" applyAlignment="1" applyProtection="1">
      <alignment horizontal="right"/>
      <protection hidden="1"/>
    </xf>
    <xf numFmtId="0" fontId="4" fillId="4" borderId="0" xfId="0" applyFont="1" applyFill="1" applyAlignment="1" applyProtection="1">
      <alignment horizontal="center"/>
      <protection hidden="1"/>
    </xf>
    <xf numFmtId="164" fontId="31" fillId="10" borderId="1" xfId="4" applyNumberFormat="1" applyFont="1" applyFill="1" applyBorder="1" applyProtection="1">
      <protection hidden="1"/>
    </xf>
    <xf numFmtId="0" fontId="4" fillId="10" borderId="1" xfId="0" applyFont="1" applyFill="1" applyBorder="1" applyProtection="1">
      <protection hidden="1"/>
    </xf>
    <xf numFmtId="0" fontId="0" fillId="10" borderId="1" xfId="0" applyFill="1" applyBorder="1" applyProtection="1">
      <protection hidden="1"/>
    </xf>
    <xf numFmtId="0" fontId="2" fillId="12" borderId="7" xfId="0" applyFont="1" applyFill="1" applyBorder="1" applyProtection="1">
      <protection hidden="1"/>
    </xf>
    <xf numFmtId="0" fontId="0" fillId="12" borderId="4" xfId="0" applyFill="1" applyBorder="1" applyProtection="1">
      <protection hidden="1"/>
    </xf>
    <xf numFmtId="0" fontId="0" fillId="12" borderId="12" xfId="0" applyFill="1" applyBorder="1" applyProtection="1">
      <protection hidden="1"/>
    </xf>
    <xf numFmtId="169" fontId="0" fillId="12" borderId="12" xfId="0" applyNumberFormat="1" applyFill="1" applyBorder="1" applyAlignment="1" applyProtection="1">
      <alignment horizontal="center"/>
      <protection hidden="1"/>
    </xf>
    <xf numFmtId="44" fontId="35" fillId="4" borderId="0" xfId="4" applyFont="1" applyFill="1" applyProtection="1">
      <protection hidden="1"/>
    </xf>
    <xf numFmtId="0" fontId="4" fillId="4" borderId="0" xfId="0" applyFont="1" applyFill="1" applyAlignment="1" applyProtection="1">
      <alignment wrapText="1"/>
      <protection hidden="1"/>
    </xf>
    <xf numFmtId="0" fontId="0" fillId="7" borderId="0" xfId="0" applyFill="1" applyAlignment="1" applyProtection="1">
      <alignment horizontal="center"/>
      <protection hidden="1"/>
    </xf>
    <xf numFmtId="0" fontId="4" fillId="7" borderId="0" xfId="0" applyFont="1" applyFill="1" applyAlignment="1" applyProtection="1">
      <alignment wrapText="1"/>
      <protection hidden="1"/>
    </xf>
    <xf numFmtId="174" fontId="0" fillId="4" borderId="0" xfId="0" applyNumberFormat="1" applyFill="1" applyProtection="1">
      <protection hidden="1"/>
    </xf>
    <xf numFmtId="44" fontId="0" fillId="4" borderId="4" xfId="0" applyNumberFormat="1" applyFill="1" applyBorder="1" applyProtection="1">
      <protection hidden="1"/>
    </xf>
    <xf numFmtId="44" fontId="0" fillId="4" borderId="12" xfId="0" applyNumberFormat="1" applyFill="1" applyBorder="1" applyProtection="1">
      <protection hidden="1"/>
    </xf>
    <xf numFmtId="44" fontId="4" fillId="4" borderId="15" xfId="0" applyNumberFormat="1" applyFont="1" applyFill="1" applyBorder="1" applyProtection="1">
      <protection hidden="1"/>
    </xf>
    <xf numFmtId="44" fontId="4" fillId="4" borderId="0" xfId="4" applyFont="1" applyFill="1" applyAlignment="1" applyProtection="1">
      <alignment horizontal="left"/>
      <protection hidden="1"/>
    </xf>
    <xf numFmtId="44" fontId="4" fillId="4" borderId="0" xfId="4" applyFont="1" applyFill="1" applyProtection="1">
      <protection hidden="1"/>
    </xf>
    <xf numFmtId="169" fontId="0" fillId="0" borderId="1" xfId="4" applyNumberFormat="1" applyFont="1" applyBorder="1" applyAlignment="1" applyProtection="1">
      <alignment horizontal="center"/>
      <protection hidden="1"/>
    </xf>
    <xf numFmtId="44" fontId="2" fillId="4" borderId="0" xfId="0" applyNumberFormat="1" applyFont="1" applyFill="1" applyProtection="1">
      <protection hidden="1"/>
    </xf>
    <xf numFmtId="166" fontId="1" fillId="4" borderId="2" xfId="11" applyNumberFormat="1" applyFont="1" applyFill="1" applyBorder="1" applyAlignment="1" applyProtection="1">
      <alignment horizontal="center"/>
      <protection hidden="1"/>
    </xf>
    <xf numFmtId="0" fontId="0" fillId="14" borderId="1" xfId="0" applyFill="1" applyBorder="1" applyProtection="1">
      <protection hidden="1"/>
    </xf>
    <xf numFmtId="10" fontId="0" fillId="14" borderId="1" xfId="0" applyNumberFormat="1" applyFill="1" applyBorder="1" applyProtection="1">
      <protection hidden="1"/>
    </xf>
    <xf numFmtId="10" fontId="0" fillId="4" borderId="0" xfId="0" applyNumberFormat="1" applyFill="1" applyProtection="1">
      <protection hidden="1"/>
    </xf>
    <xf numFmtId="0" fontId="5" fillId="7" borderId="0" xfId="0" applyFont="1" applyFill="1" applyProtection="1">
      <protection hidden="1"/>
    </xf>
    <xf numFmtId="0" fontId="25" fillId="4" borderId="0" xfId="0" applyFont="1" applyFill="1" applyAlignment="1" applyProtection="1">
      <alignment horizontal="left"/>
      <protection hidden="1"/>
    </xf>
    <xf numFmtId="164" fontId="68" fillId="10" borderId="7" xfId="4" applyNumberFormat="1" applyFont="1" applyFill="1" applyBorder="1" applyProtection="1">
      <protection hidden="1"/>
    </xf>
    <xf numFmtId="0" fontId="10" fillId="10" borderId="4" xfId="0" applyFont="1" applyFill="1" applyBorder="1" applyAlignment="1" applyProtection="1">
      <alignment horizontal="center"/>
      <protection hidden="1"/>
    </xf>
    <xf numFmtId="0" fontId="10" fillId="10" borderId="4" xfId="0" applyFont="1" applyFill="1" applyBorder="1" applyProtection="1">
      <protection hidden="1"/>
    </xf>
    <xf numFmtId="0" fontId="68" fillId="10" borderId="4" xfId="0" applyFont="1" applyFill="1" applyBorder="1" applyProtection="1">
      <protection hidden="1"/>
    </xf>
    <xf numFmtId="0" fontId="10" fillId="10" borderId="8" xfId="0" applyFont="1" applyFill="1" applyBorder="1" applyProtection="1">
      <protection hidden="1"/>
    </xf>
    <xf numFmtId="174" fontId="4" fillId="0" borderId="1" xfId="4" applyNumberFormat="1" applyFont="1" applyBorder="1" applyProtection="1">
      <protection hidden="1"/>
    </xf>
    <xf numFmtId="44" fontId="60" fillId="7" borderId="9" xfId="4" applyFont="1" applyFill="1" applyBorder="1" applyAlignment="1" applyProtection="1">
      <alignment horizontal="right" vertical="center"/>
      <protection hidden="1"/>
    </xf>
    <xf numFmtId="44" fontId="4" fillId="7" borderId="0" xfId="4" applyFont="1" applyFill="1" applyBorder="1" applyAlignment="1" applyProtection="1">
      <alignment horizontal="right" vertical="center"/>
      <protection hidden="1"/>
    </xf>
    <xf numFmtId="44" fontId="60" fillId="7" borderId="0" xfId="4" applyFont="1" applyFill="1" applyBorder="1" applyAlignment="1" applyProtection="1">
      <alignment horizontal="right" vertical="center"/>
      <protection hidden="1"/>
    </xf>
    <xf numFmtId="44" fontId="4" fillId="7" borderId="3" xfId="4" applyFont="1" applyFill="1" applyBorder="1" applyAlignment="1" applyProtection="1">
      <alignment horizontal="right" vertical="center"/>
      <protection hidden="1"/>
    </xf>
    <xf numFmtId="0" fontId="0" fillId="0" borderId="0" xfId="0" applyAlignment="1" applyProtection="1">
      <alignment vertical="center" wrapText="1"/>
      <protection hidden="1"/>
    </xf>
    <xf numFmtId="0" fontId="24" fillId="4" borderId="0" xfId="0" applyFont="1" applyFill="1" applyAlignment="1" applyProtection="1">
      <alignment horizontal="left"/>
      <protection hidden="1"/>
    </xf>
    <xf numFmtId="0" fontId="0" fillId="0" borderId="0" xfId="0" applyAlignment="1" applyProtection="1">
      <alignment horizontal="right"/>
      <protection hidden="1"/>
    </xf>
    <xf numFmtId="0" fontId="0" fillId="0" borderId="0" xfId="4" applyNumberFormat="1" applyFont="1" applyAlignment="1" applyProtection="1">
      <alignment horizontal="right"/>
      <protection hidden="1"/>
    </xf>
    <xf numFmtId="44" fontId="35" fillId="0" borderId="1" xfId="4" applyFont="1" applyFill="1" applyBorder="1" applyProtection="1">
      <protection hidden="1"/>
    </xf>
    <xf numFmtId="0" fontId="68" fillId="10" borderId="10" xfId="0" applyFont="1" applyFill="1" applyBorder="1" applyProtection="1">
      <protection hidden="1"/>
    </xf>
    <xf numFmtId="0" fontId="10" fillId="10" borderId="12" xfId="0" applyFont="1" applyFill="1" applyBorder="1" applyProtection="1">
      <protection hidden="1"/>
    </xf>
    <xf numFmtId="0" fontId="0" fillId="10" borderId="12" xfId="0" applyFill="1" applyBorder="1" applyProtection="1">
      <protection hidden="1"/>
    </xf>
    <xf numFmtId="0" fontId="60" fillId="10" borderId="12" xfId="0" applyFont="1" applyFill="1" applyBorder="1" applyProtection="1">
      <protection hidden="1"/>
    </xf>
    <xf numFmtId="0" fontId="0" fillId="10" borderId="11" xfId="0" applyFill="1" applyBorder="1" applyProtection="1">
      <protection hidden="1"/>
    </xf>
    <xf numFmtId="9" fontId="0" fillId="0" borderId="1" xfId="11" applyFont="1" applyBorder="1" applyAlignment="1" applyProtection="1">
      <alignment horizontal="center"/>
      <protection hidden="1"/>
    </xf>
    <xf numFmtId="0" fontId="25" fillId="4" borderId="0" xfId="0" applyFont="1" applyFill="1" applyProtection="1">
      <protection hidden="1"/>
    </xf>
    <xf numFmtId="44" fontId="1" fillId="4" borderId="5" xfId="0" applyNumberFormat="1" applyFont="1" applyFill="1" applyBorder="1" applyProtection="1">
      <protection hidden="1"/>
    </xf>
    <xf numFmtId="44" fontId="4" fillId="7" borderId="13" xfId="4" applyFont="1" applyFill="1" applyBorder="1" applyAlignment="1" applyProtection="1">
      <alignment horizontal="right" vertical="center"/>
      <protection hidden="1"/>
    </xf>
    <xf numFmtId="44" fontId="4" fillId="7" borderId="14" xfId="4" applyFont="1" applyFill="1" applyBorder="1" applyAlignment="1" applyProtection="1">
      <alignment horizontal="right" vertical="center"/>
      <protection hidden="1"/>
    </xf>
    <xf numFmtId="44" fontId="4" fillId="7" borderId="6" xfId="4" applyFont="1" applyFill="1" applyBorder="1" applyAlignment="1" applyProtection="1">
      <alignment horizontal="right" vertical="center"/>
      <protection hidden="1"/>
    </xf>
    <xf numFmtId="44" fontId="4" fillId="7" borderId="13" xfId="0" applyNumberFormat="1" applyFont="1" applyFill="1" applyBorder="1" applyProtection="1">
      <protection hidden="1"/>
    </xf>
    <xf numFmtId="44" fontId="4" fillId="7" borderId="14" xfId="0" applyNumberFormat="1" applyFont="1" applyFill="1" applyBorder="1" applyProtection="1">
      <protection hidden="1"/>
    </xf>
    <xf numFmtId="44" fontId="4" fillId="7" borderId="6" xfId="0" applyNumberFormat="1" applyFont="1" applyFill="1" applyBorder="1" applyProtection="1">
      <protection hidden="1"/>
    </xf>
    <xf numFmtId="0" fontId="4" fillId="4" borderId="12" xfId="0" applyFont="1" applyFill="1" applyBorder="1" applyProtection="1">
      <protection hidden="1"/>
    </xf>
    <xf numFmtId="0" fontId="2" fillId="0" borderId="1" xfId="0" applyFont="1" applyBorder="1" applyAlignment="1" applyProtection="1">
      <alignment horizontal="center" vertical="center"/>
      <protection hidden="1"/>
    </xf>
    <xf numFmtId="44" fontId="2" fillId="0" borderId="1" xfId="4" applyFont="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2" fillId="4"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44" fontId="0" fillId="0" borderId="1" xfId="0" applyNumberFormat="1" applyBorder="1" applyProtection="1">
      <protection hidden="1"/>
    </xf>
    <xf numFmtId="168" fontId="0" fillId="4" borderId="0" xfId="0" applyNumberFormat="1" applyFill="1" applyAlignment="1" applyProtection="1">
      <alignment horizontal="center"/>
      <protection hidden="1"/>
    </xf>
    <xf numFmtId="2" fontId="0" fillId="4" borderId="1" xfId="0" applyNumberFormat="1" applyFill="1" applyBorder="1" applyAlignment="1" applyProtection="1">
      <alignment horizontal="center"/>
      <protection hidden="1"/>
    </xf>
    <xf numFmtId="173" fontId="0" fillId="0" borderId="1" xfId="0" applyNumberFormat="1" applyBorder="1" applyProtection="1">
      <protection hidden="1"/>
    </xf>
    <xf numFmtId="44" fontId="4" fillId="0" borderId="1" xfId="4" applyFont="1" applyFill="1" applyBorder="1" applyProtection="1">
      <protection hidden="1"/>
    </xf>
    <xf numFmtId="10" fontId="2" fillId="0" borderId="1" xfId="0" applyNumberFormat="1" applyFont="1" applyBorder="1" applyAlignment="1" applyProtection="1">
      <alignment horizontal="center"/>
      <protection hidden="1"/>
    </xf>
    <xf numFmtId="0" fontId="0" fillId="15" borderId="7" xfId="0" applyFill="1" applyBorder="1" applyProtection="1">
      <protection hidden="1"/>
    </xf>
    <xf numFmtId="0" fontId="0" fillId="15" borderId="4" xfId="0" applyFill="1" applyBorder="1" applyProtection="1">
      <protection hidden="1"/>
    </xf>
    <xf numFmtId="0" fontId="0" fillId="15" borderId="8" xfId="0" applyFill="1" applyBorder="1" applyProtection="1">
      <protection hidden="1"/>
    </xf>
    <xf numFmtId="9" fontId="2" fillId="0" borderId="1" xfId="0" applyNumberFormat="1" applyFont="1" applyBorder="1" applyAlignment="1" applyProtection="1">
      <alignment horizontal="center"/>
      <protection hidden="1"/>
    </xf>
    <xf numFmtId="0" fontId="0" fillId="15" borderId="9" xfId="0" applyFill="1" applyBorder="1" applyAlignment="1" applyProtection="1">
      <alignment horizontal="left"/>
      <protection hidden="1"/>
    </xf>
    <xf numFmtId="0" fontId="2" fillId="15" borderId="0" xfId="0" applyFont="1" applyFill="1" applyProtection="1">
      <protection hidden="1"/>
    </xf>
    <xf numFmtId="0" fontId="0" fillId="15" borderId="0" xfId="0" applyFill="1" applyProtection="1">
      <protection hidden="1"/>
    </xf>
    <xf numFmtId="169" fontId="0" fillId="15" borderId="0" xfId="0" applyNumberFormat="1" applyFill="1" applyProtection="1">
      <protection hidden="1"/>
    </xf>
    <xf numFmtId="0" fontId="10" fillId="15" borderId="0" xfId="0" applyFont="1" applyFill="1" applyAlignment="1" applyProtection="1">
      <alignment horizontal="center"/>
      <protection hidden="1"/>
    </xf>
    <xf numFmtId="0" fontId="0" fillId="15" borderId="3" xfId="0" applyFill="1" applyBorder="1" applyAlignment="1" applyProtection="1">
      <alignment horizontal="center"/>
      <protection hidden="1"/>
    </xf>
    <xf numFmtId="0" fontId="0" fillId="15" borderId="9" xfId="0" applyFill="1" applyBorder="1" applyAlignment="1" applyProtection="1">
      <alignment horizontal="center"/>
      <protection hidden="1"/>
    </xf>
    <xf numFmtId="44" fontId="27" fillId="15" borderId="0" xfId="4" applyFont="1" applyFill="1" applyBorder="1" applyProtection="1">
      <protection hidden="1"/>
    </xf>
    <xf numFmtId="44" fontId="2" fillId="0" borderId="1" xfId="4" applyFont="1" applyFill="1" applyBorder="1" applyProtection="1">
      <protection hidden="1"/>
    </xf>
    <xf numFmtId="44" fontId="2" fillId="0" borderId="0" xfId="4" applyFont="1" applyAlignment="1" applyProtection="1">
      <alignment horizontal="center"/>
      <protection hidden="1"/>
    </xf>
    <xf numFmtId="0" fontId="2" fillId="15" borderId="1" xfId="0" applyFont="1" applyFill="1" applyBorder="1" applyProtection="1">
      <protection hidden="1"/>
    </xf>
    <xf numFmtId="176" fontId="27" fillId="15" borderId="1" xfId="11" applyNumberFormat="1" applyFont="1" applyFill="1" applyBorder="1" applyProtection="1">
      <protection hidden="1"/>
    </xf>
    <xf numFmtId="168" fontId="0" fillId="0" borderId="0" xfId="0" applyNumberFormat="1" applyProtection="1">
      <protection hidden="1"/>
    </xf>
    <xf numFmtId="10" fontId="0" fillId="15" borderId="1" xfId="0" applyNumberFormat="1" applyFill="1" applyBorder="1" applyProtection="1">
      <protection hidden="1"/>
    </xf>
    <xf numFmtId="44" fontId="2" fillId="15" borderId="1" xfId="4" applyFont="1" applyFill="1" applyBorder="1" applyProtection="1">
      <protection hidden="1"/>
    </xf>
    <xf numFmtId="44" fontId="18" fillId="0" borderId="1" xfId="4" applyFont="1" applyFill="1" applyBorder="1" applyProtection="1">
      <protection hidden="1"/>
    </xf>
    <xf numFmtId="0" fontId="4" fillId="15" borderId="9" xfId="0" applyFont="1" applyFill="1" applyBorder="1" applyProtection="1">
      <protection hidden="1"/>
    </xf>
    <xf numFmtId="10" fontId="2" fillId="0" borderId="1" xfId="11" applyNumberFormat="1" applyFont="1" applyBorder="1" applyProtection="1">
      <protection hidden="1"/>
    </xf>
    <xf numFmtId="0" fontId="0" fillId="15" borderId="10" xfId="0" applyFill="1" applyBorder="1" applyProtection="1">
      <protection hidden="1"/>
    </xf>
    <xf numFmtId="0" fontId="0" fillId="15" borderId="12" xfId="0" applyFill="1" applyBorder="1" applyProtection="1">
      <protection hidden="1"/>
    </xf>
    <xf numFmtId="0" fontId="0" fillId="15" borderId="11" xfId="0" applyFill="1" applyBorder="1" applyProtection="1">
      <protection hidden="1"/>
    </xf>
    <xf numFmtId="2" fontId="2" fillId="0" borderId="0" xfId="0" applyNumberFormat="1" applyFont="1" applyAlignment="1" applyProtection="1">
      <alignment horizontal="center"/>
      <protection hidden="1"/>
    </xf>
    <xf numFmtId="0" fontId="2" fillId="15" borderId="1" xfId="0" applyFont="1" applyFill="1" applyBorder="1" applyAlignment="1" applyProtection="1">
      <alignment horizontal="center"/>
      <protection hidden="1"/>
    </xf>
    <xf numFmtId="0" fontId="65" fillId="16" borderId="0" xfId="0" applyFont="1" applyFill="1" applyProtection="1">
      <protection hidden="1"/>
    </xf>
    <xf numFmtId="0" fontId="0" fillId="16" borderId="0" xfId="0" applyFill="1" applyProtection="1">
      <protection hidden="1"/>
    </xf>
    <xf numFmtId="0" fontId="63" fillId="16" borderId="0" xfId="0" applyFont="1" applyFill="1" applyProtection="1">
      <protection hidden="1"/>
    </xf>
    <xf numFmtId="44" fontId="31" fillId="15" borderId="1" xfId="4" applyFont="1" applyFill="1" applyBorder="1" applyProtection="1">
      <protection hidden="1"/>
    </xf>
    <xf numFmtId="44" fontId="63" fillId="8" borderId="0" xfId="0" applyNumberFormat="1" applyFont="1" applyFill="1" applyProtection="1">
      <protection hidden="1"/>
    </xf>
    <xf numFmtId="0" fontId="34" fillId="0" borderId="0" xfId="0" applyFont="1" applyAlignment="1" applyProtection="1">
      <alignment horizontal="left" vertical="center"/>
      <protection hidden="1"/>
    </xf>
    <xf numFmtId="44" fontId="4" fillId="0" borderId="0" xfId="4" applyFont="1" applyFill="1" applyBorder="1" applyProtection="1">
      <protection hidden="1"/>
    </xf>
    <xf numFmtId="172" fontId="0" fillId="4" borderId="0" xfId="0" applyNumberFormat="1" applyFill="1" applyProtection="1">
      <protection hidden="1"/>
    </xf>
    <xf numFmtId="10" fontId="33" fillId="4" borderId="0" xfId="11" applyNumberFormat="1" applyFont="1" applyFill="1" applyBorder="1" applyProtection="1">
      <protection hidden="1"/>
    </xf>
    <xf numFmtId="0" fontId="63" fillId="4" borderId="0" xfId="0" applyFont="1" applyFill="1" applyProtection="1">
      <protection hidden="1"/>
    </xf>
    <xf numFmtId="0" fontId="24" fillId="4" borderId="0" xfId="0" applyFont="1" applyFill="1" applyAlignment="1" applyProtection="1">
      <alignment vertical="center"/>
      <protection hidden="1"/>
    </xf>
    <xf numFmtId="10" fontId="31" fillId="15" borderId="1" xfId="11" applyNumberFormat="1" applyFont="1" applyFill="1" applyBorder="1" applyAlignment="1" applyProtection="1">
      <alignment horizontal="center"/>
      <protection hidden="1"/>
    </xf>
    <xf numFmtId="8" fontId="0" fillId="8" borderId="5" xfId="0" applyNumberFormat="1" applyFill="1" applyBorder="1" applyProtection="1">
      <protection hidden="1"/>
    </xf>
    <xf numFmtId="44" fontId="4" fillId="10" borderId="5" xfId="0" applyNumberFormat="1" applyFont="1" applyFill="1" applyBorder="1" applyProtection="1">
      <protection hidden="1"/>
    </xf>
    <xf numFmtId="0" fontId="4" fillId="10" borderId="0" xfId="0" applyFont="1" applyFill="1" applyProtection="1">
      <protection hidden="1"/>
    </xf>
    <xf numFmtId="0" fontId="0" fillId="10" borderId="0" xfId="0" applyFill="1" applyProtection="1">
      <protection hidden="1"/>
    </xf>
    <xf numFmtId="0" fontId="2" fillId="10" borderId="0" xfId="0" applyFont="1" applyFill="1" applyProtection="1">
      <protection hidden="1"/>
    </xf>
    <xf numFmtId="0" fontId="24" fillId="17" borderId="0" xfId="0" applyFont="1" applyFill="1" applyAlignment="1" applyProtection="1">
      <alignment horizontal="left" vertical="center"/>
      <protection hidden="1"/>
    </xf>
    <xf numFmtId="0" fontId="0" fillId="17" borderId="0" xfId="0" applyFill="1" applyProtection="1">
      <protection hidden="1"/>
    </xf>
    <xf numFmtId="0" fontId="24" fillId="17" borderId="0" xfId="0" applyFont="1" applyFill="1" applyAlignment="1" applyProtection="1">
      <alignment vertical="center"/>
      <protection hidden="1"/>
    </xf>
    <xf numFmtId="0" fontId="0" fillId="17" borderId="0" xfId="0" applyFill="1" applyAlignment="1" applyProtection="1">
      <alignment horizontal="center" vertical="center"/>
      <protection hidden="1"/>
    </xf>
    <xf numFmtId="0" fontId="24" fillId="18" borderId="0" xfId="0" applyFont="1" applyFill="1" applyAlignment="1" applyProtection="1">
      <alignment horizontal="left" vertical="center"/>
      <protection hidden="1"/>
    </xf>
    <xf numFmtId="0" fontId="0" fillId="18" borderId="0" xfId="0" applyFill="1" applyProtection="1">
      <protection hidden="1"/>
    </xf>
    <xf numFmtId="0" fontId="4" fillId="16" borderId="0" xfId="0" applyFont="1" applyFill="1" applyProtection="1">
      <protection hidden="1"/>
    </xf>
    <xf numFmtId="44" fontId="0" fillId="16" borderId="0" xfId="0" applyNumberFormat="1" applyFill="1" applyProtection="1">
      <protection hidden="1"/>
    </xf>
    <xf numFmtId="0" fontId="4" fillId="4" borderId="0" xfId="0" applyFont="1" applyFill="1" applyAlignment="1" applyProtection="1">
      <alignment horizontal="right"/>
      <protection hidden="1"/>
    </xf>
    <xf numFmtId="44" fontId="0" fillId="15" borderId="1" xfId="0" applyNumberFormat="1" applyFill="1" applyBorder="1" applyProtection="1">
      <protection hidden="1"/>
    </xf>
    <xf numFmtId="0" fontId="24" fillId="17" borderId="0" xfId="0" applyFont="1" applyFill="1" applyProtection="1">
      <protection hidden="1"/>
    </xf>
    <xf numFmtId="0" fontId="24" fillId="17" borderId="0" xfId="0" applyFont="1" applyFill="1" applyAlignment="1" applyProtection="1">
      <alignment horizontal="right"/>
      <protection hidden="1"/>
    </xf>
    <xf numFmtId="0" fontId="4" fillId="17" borderId="0" xfId="0" applyFont="1" applyFill="1" applyAlignment="1" applyProtection="1">
      <alignment horizontal="left"/>
      <protection hidden="1"/>
    </xf>
    <xf numFmtId="0" fontId="24" fillId="18" borderId="0" xfId="0" applyFont="1" applyFill="1" applyAlignment="1" applyProtection="1">
      <alignment horizontal="right"/>
      <protection hidden="1"/>
    </xf>
    <xf numFmtId="0" fontId="24" fillId="18" borderId="0" xfId="0" applyFont="1" applyFill="1" applyAlignment="1" applyProtection="1">
      <alignment horizontal="left"/>
      <protection hidden="1"/>
    </xf>
    <xf numFmtId="0" fontId="24" fillId="12" borderId="0" xfId="0" applyFont="1" applyFill="1" applyProtection="1">
      <protection hidden="1"/>
    </xf>
    <xf numFmtId="0" fontId="24" fillId="12" borderId="0" xfId="0" applyFont="1" applyFill="1" applyAlignment="1" applyProtection="1">
      <alignment horizontal="right"/>
      <protection hidden="1"/>
    </xf>
    <xf numFmtId="8" fontId="0" fillId="4" borderId="0" xfId="0" applyNumberFormat="1" applyFill="1" applyProtection="1">
      <protection hidden="1"/>
    </xf>
    <xf numFmtId="44" fontId="31" fillId="17" borderId="0" xfId="4" applyFont="1" applyFill="1" applyProtection="1">
      <protection hidden="1"/>
    </xf>
    <xf numFmtId="2" fontId="0" fillId="17" borderId="0" xfId="0" applyNumberFormat="1" applyFill="1" applyProtection="1">
      <protection hidden="1"/>
    </xf>
    <xf numFmtId="44" fontId="0" fillId="18" borderId="0" xfId="0" applyNumberFormat="1" applyFill="1" applyProtection="1">
      <protection hidden="1"/>
    </xf>
    <xf numFmtId="2" fontId="0" fillId="18" borderId="0" xfId="0" applyNumberFormat="1" applyFill="1" applyProtection="1">
      <protection hidden="1"/>
    </xf>
    <xf numFmtId="44" fontId="0" fillId="12" borderId="0" xfId="0" applyNumberFormat="1" applyFill="1" applyProtection="1">
      <protection hidden="1"/>
    </xf>
    <xf numFmtId="2" fontId="0" fillId="12" borderId="0" xfId="0" applyNumberFormat="1" applyFill="1" applyProtection="1">
      <protection hidden="1"/>
    </xf>
    <xf numFmtId="0" fontId="0" fillId="12" borderId="0" xfId="0" applyFill="1" applyProtection="1">
      <protection hidden="1"/>
    </xf>
    <xf numFmtId="0" fontId="0" fillId="0" borderId="0" xfId="4" applyNumberFormat="1" applyFont="1" applyProtection="1">
      <protection hidden="1"/>
    </xf>
    <xf numFmtId="0" fontId="24" fillId="4" borderId="0" xfId="4" applyNumberFormat="1" applyFont="1" applyFill="1" applyProtection="1">
      <protection hidden="1"/>
    </xf>
    <xf numFmtId="44" fontId="0" fillId="8" borderId="5" xfId="0" applyNumberFormat="1" applyFill="1" applyBorder="1" applyProtection="1">
      <protection hidden="1"/>
    </xf>
    <xf numFmtId="8" fontId="0" fillId="0" borderId="0" xfId="0" applyNumberFormat="1" applyProtection="1">
      <protection hidden="1"/>
    </xf>
    <xf numFmtId="10" fontId="38" fillId="4" borderId="0" xfId="11" applyNumberFormat="1" applyFont="1" applyFill="1" applyProtection="1">
      <protection hidden="1"/>
    </xf>
    <xf numFmtId="44" fontId="69" fillId="0" borderId="0" xfId="0" applyNumberFormat="1" applyFont="1" applyAlignment="1" applyProtection="1">
      <alignment horizontal="left"/>
      <protection hidden="1"/>
    </xf>
    <xf numFmtId="44" fontId="0" fillId="0" borderId="0" xfId="4" applyFont="1" applyFill="1" applyProtection="1">
      <protection hidden="1"/>
    </xf>
    <xf numFmtId="0" fontId="10" fillId="0" borderId="0" xfId="0" applyFont="1" applyAlignment="1" applyProtection="1">
      <alignment horizontal="center"/>
      <protection hidden="1"/>
    </xf>
    <xf numFmtId="2" fontId="0" fillId="4" borderId="0" xfId="0" applyNumberFormat="1" applyFill="1" applyProtection="1">
      <protection hidden="1"/>
    </xf>
    <xf numFmtId="172" fontId="0" fillId="11" borderId="0" xfId="0" applyNumberFormat="1" applyFill="1" applyProtection="1">
      <protection hidden="1"/>
    </xf>
    <xf numFmtId="44" fontId="38" fillId="4" borderId="0" xfId="11" applyNumberFormat="1" applyFont="1" applyFill="1" applyProtection="1">
      <protection hidden="1"/>
    </xf>
    <xf numFmtId="44" fontId="0" fillId="4" borderId="5" xfId="0" applyNumberFormat="1" applyFill="1" applyBorder="1" applyProtection="1">
      <protection hidden="1"/>
    </xf>
    <xf numFmtId="0" fontId="4" fillId="11" borderId="1" xfId="0" applyFont="1" applyFill="1" applyBorder="1" applyAlignment="1" applyProtection="1">
      <alignment horizontal="center"/>
      <protection hidden="1"/>
    </xf>
    <xf numFmtId="0" fontId="0" fillId="11" borderId="1" xfId="0" applyFill="1" applyBorder="1" applyAlignment="1" applyProtection="1">
      <alignment horizontal="right"/>
      <protection hidden="1"/>
    </xf>
    <xf numFmtId="10" fontId="40" fillId="11" borderId="1" xfId="11" applyNumberFormat="1" applyFont="1" applyFill="1" applyBorder="1" applyProtection="1">
      <protection hidden="1"/>
    </xf>
    <xf numFmtId="0" fontId="0" fillId="11" borderId="1" xfId="0" applyFill="1" applyBorder="1" applyAlignment="1" applyProtection="1">
      <alignment horizontal="center"/>
      <protection hidden="1"/>
    </xf>
    <xf numFmtId="44" fontId="2" fillId="0" borderId="0" xfId="4" applyFont="1" applyBorder="1" applyProtection="1">
      <protection hidden="1"/>
    </xf>
    <xf numFmtId="174" fontId="0" fillId="0" borderId="0" xfId="0" applyNumberFormat="1" applyProtection="1">
      <protection hidden="1"/>
    </xf>
    <xf numFmtId="44" fontId="4" fillId="12" borderId="0" xfId="0" applyNumberFormat="1" applyFont="1" applyFill="1" applyProtection="1">
      <protection hidden="1"/>
    </xf>
    <xf numFmtId="44" fontId="4" fillId="0" borderId="0" xfId="0" applyNumberFormat="1" applyFont="1" applyProtection="1">
      <protection hidden="1"/>
    </xf>
    <xf numFmtId="174" fontId="0" fillId="0" borderId="0" xfId="0" applyNumberFormat="1" applyAlignment="1" applyProtection="1">
      <alignment horizontal="center"/>
      <protection hidden="1"/>
    </xf>
    <xf numFmtId="0" fontId="4" fillId="12" borderId="0" xfId="0" applyFont="1" applyFill="1" applyProtection="1">
      <protection hidden="1"/>
    </xf>
    <xf numFmtId="0" fontId="0" fillId="17" borderId="1" xfId="0" applyFill="1" applyBorder="1" applyAlignment="1" applyProtection="1">
      <alignment horizontal="center"/>
      <protection hidden="1"/>
    </xf>
    <xf numFmtId="0" fontId="0" fillId="12" borderId="0" xfId="0" applyFill="1" applyAlignment="1" applyProtection="1">
      <alignment horizontal="center"/>
      <protection hidden="1"/>
    </xf>
    <xf numFmtId="168" fontId="0" fillId="12" borderId="0" xfId="0" applyNumberFormat="1" applyFill="1" applyAlignment="1" applyProtection="1">
      <alignment horizontal="center"/>
      <protection hidden="1"/>
    </xf>
    <xf numFmtId="0" fontId="24" fillId="10" borderId="0" xfId="0" applyFont="1" applyFill="1" applyProtection="1">
      <protection hidden="1"/>
    </xf>
    <xf numFmtId="0" fontId="0" fillId="19" borderId="0" xfId="0" applyFill="1" applyProtection="1">
      <protection hidden="1"/>
    </xf>
    <xf numFmtId="0" fontId="0" fillId="20" borderId="0" xfId="0" applyFill="1" applyProtection="1">
      <protection hidden="1"/>
    </xf>
    <xf numFmtId="0" fontId="0" fillId="21" borderId="0" xfId="0" applyFill="1" applyProtection="1">
      <protection hidden="1"/>
    </xf>
    <xf numFmtId="0" fontId="0" fillId="22" borderId="0" xfId="0" applyFill="1" applyProtection="1">
      <protection hidden="1"/>
    </xf>
    <xf numFmtId="0" fontId="24" fillId="19" borderId="0" xfId="0" applyFont="1" applyFill="1" applyAlignment="1" applyProtection="1">
      <alignment horizontal="right"/>
      <protection hidden="1"/>
    </xf>
    <xf numFmtId="0" fontId="24" fillId="9" borderId="0" xfId="0" applyFont="1" applyFill="1" applyAlignment="1" applyProtection="1">
      <alignment horizontal="right"/>
      <protection hidden="1"/>
    </xf>
    <xf numFmtId="0" fontId="24" fillId="20" borderId="0" xfId="0" applyFont="1" applyFill="1" applyAlignment="1" applyProtection="1">
      <alignment horizontal="right"/>
      <protection hidden="1"/>
    </xf>
    <xf numFmtId="0" fontId="24" fillId="21" borderId="0" xfId="0" applyFont="1" applyFill="1" applyAlignment="1" applyProtection="1">
      <alignment horizontal="right"/>
      <protection hidden="1"/>
    </xf>
    <xf numFmtId="0" fontId="24" fillId="22" borderId="0" xfId="0" applyFont="1" applyFill="1" applyAlignment="1" applyProtection="1">
      <alignment horizontal="right"/>
      <protection hidden="1"/>
    </xf>
    <xf numFmtId="0" fontId="24" fillId="10" borderId="0" xfId="0" applyFont="1" applyFill="1" applyAlignment="1" applyProtection="1">
      <alignment horizontal="right"/>
      <protection hidden="1"/>
    </xf>
    <xf numFmtId="44" fontId="0" fillId="19" borderId="0" xfId="0" applyNumberFormat="1" applyFill="1" applyProtection="1">
      <protection hidden="1"/>
    </xf>
    <xf numFmtId="44" fontId="0" fillId="9" borderId="0" xfId="0" applyNumberFormat="1" applyFill="1" applyProtection="1">
      <protection hidden="1"/>
    </xf>
    <xf numFmtId="44" fontId="0" fillId="20" borderId="0" xfId="0" applyNumberFormat="1" applyFill="1" applyProtection="1">
      <protection hidden="1"/>
    </xf>
    <xf numFmtId="44" fontId="0" fillId="21" borderId="0" xfId="0" applyNumberFormat="1" applyFill="1" applyProtection="1">
      <protection hidden="1"/>
    </xf>
    <xf numFmtId="44" fontId="0" fillId="17" borderId="0" xfId="0" applyNumberFormat="1" applyFill="1" applyProtection="1">
      <protection hidden="1"/>
    </xf>
    <xf numFmtId="2" fontId="4" fillId="12" borderId="0" xfId="0" applyNumberFormat="1" applyFont="1" applyFill="1" applyProtection="1">
      <protection hidden="1"/>
    </xf>
    <xf numFmtId="44" fontId="0" fillId="22" borderId="0" xfId="0" applyNumberFormat="1" applyFill="1" applyProtection="1">
      <protection hidden="1"/>
    </xf>
    <xf numFmtId="9" fontId="41" fillId="22" borderId="0" xfId="11" applyFont="1" applyFill="1" applyProtection="1">
      <protection hidden="1"/>
    </xf>
    <xf numFmtId="44" fontId="4" fillId="0" borderId="0" xfId="4" applyFont="1" applyFill="1" applyBorder="1" applyAlignment="1" applyProtection="1">
      <alignment horizontal="center" vertical="center"/>
      <protection hidden="1"/>
    </xf>
    <xf numFmtId="44" fontId="4" fillId="19" borderId="0" xfId="0" applyNumberFormat="1" applyFont="1" applyFill="1" applyProtection="1">
      <protection hidden="1"/>
    </xf>
    <xf numFmtId="9" fontId="4" fillId="22" borderId="0" xfId="0" applyNumberFormat="1" applyFont="1" applyFill="1" applyProtection="1">
      <protection hidden="1"/>
    </xf>
    <xf numFmtId="44" fontId="0" fillId="0" borderId="0" xfId="4" applyFont="1" applyBorder="1" applyProtection="1">
      <protection hidden="1"/>
    </xf>
    <xf numFmtId="0" fontId="0" fillId="12" borderId="0" xfId="0" applyFill="1" applyAlignment="1" applyProtection="1">
      <alignment horizontal="right"/>
      <protection hidden="1"/>
    </xf>
    <xf numFmtId="9" fontId="0" fillId="12" borderId="0" xfId="0" applyNumberFormat="1" applyFill="1" applyProtection="1">
      <protection hidden="1"/>
    </xf>
    <xf numFmtId="9" fontId="43" fillId="12" borderId="0" xfId="11" applyFont="1" applyFill="1" applyProtection="1">
      <protection hidden="1"/>
    </xf>
    <xf numFmtId="0" fontId="4" fillId="10" borderId="0" xfId="0" applyFont="1" applyFill="1" applyAlignment="1" applyProtection="1">
      <alignment horizontal="left"/>
      <protection hidden="1"/>
    </xf>
    <xf numFmtId="44" fontId="0" fillId="10" borderId="0" xfId="0" applyNumberFormat="1" applyFill="1" applyProtection="1">
      <protection hidden="1"/>
    </xf>
    <xf numFmtId="0" fontId="24" fillId="12" borderId="0" xfId="0" applyFont="1" applyFill="1" applyAlignment="1" applyProtection="1">
      <alignment horizontal="left"/>
      <protection hidden="1"/>
    </xf>
    <xf numFmtId="9" fontId="43" fillId="12" borderId="0" xfId="11" applyFont="1" applyFill="1" applyAlignment="1" applyProtection="1">
      <alignment horizontal="right"/>
      <protection hidden="1"/>
    </xf>
    <xf numFmtId="175" fontId="0" fillId="0" borderId="0" xfId="11" applyNumberFormat="1" applyFont="1" applyBorder="1" applyAlignment="1" applyProtection="1">
      <alignment horizontal="right"/>
      <protection hidden="1"/>
    </xf>
    <xf numFmtId="175" fontId="0" fillId="0" borderId="0" xfId="11" applyNumberFormat="1" applyFont="1" applyBorder="1" applyAlignment="1" applyProtection="1">
      <alignment horizontal="center"/>
      <protection hidden="1"/>
    </xf>
    <xf numFmtId="0" fontId="4" fillId="20" borderId="0" xfId="0" applyFont="1" applyFill="1" applyProtection="1">
      <protection hidden="1"/>
    </xf>
    <xf numFmtId="0" fontId="4" fillId="19" borderId="0" xfId="0" applyFont="1" applyFill="1" applyProtection="1">
      <protection hidden="1"/>
    </xf>
    <xf numFmtId="0" fontId="4" fillId="12" borderId="0" xfId="0" applyFont="1" applyFill="1" applyAlignment="1" applyProtection="1">
      <alignment horizontal="right"/>
      <protection hidden="1"/>
    </xf>
    <xf numFmtId="0" fontId="4" fillId="9" borderId="0" xfId="0" applyFont="1" applyFill="1" applyProtection="1">
      <protection hidden="1"/>
    </xf>
    <xf numFmtId="9" fontId="42" fillId="12" borderId="0" xfId="11" applyFont="1" applyFill="1" applyProtection="1">
      <protection hidden="1"/>
    </xf>
    <xf numFmtId="172" fontId="0" fillId="10" borderId="0" xfId="0" applyNumberFormat="1" applyFill="1" applyProtection="1">
      <protection hidden="1"/>
    </xf>
    <xf numFmtId="177" fontId="0" fillId="0" borderId="0" xfId="11" applyNumberFormat="1" applyFont="1" applyBorder="1" applyProtection="1">
      <protection hidden="1"/>
    </xf>
    <xf numFmtId="0" fontId="0" fillId="19" borderId="0" xfId="0" applyFill="1" applyAlignment="1" applyProtection="1">
      <alignment horizontal="right"/>
      <protection hidden="1"/>
    </xf>
    <xf numFmtId="174" fontId="0" fillId="0" borderId="0" xfId="11" applyNumberFormat="1" applyFont="1" applyBorder="1" applyProtection="1">
      <protection hidden="1"/>
    </xf>
    <xf numFmtId="0" fontId="0" fillId="9" borderId="0" xfId="0" applyFill="1" applyAlignment="1" applyProtection="1">
      <alignment horizontal="right"/>
      <protection hidden="1"/>
    </xf>
    <xf numFmtId="0" fontId="0" fillId="20" borderId="0" xfId="0" applyFill="1" applyAlignment="1" applyProtection="1">
      <alignment horizontal="right"/>
      <protection hidden="1"/>
    </xf>
    <xf numFmtId="175" fontId="0" fillId="0" borderId="0" xfId="11" applyNumberFormat="1" applyFont="1" applyBorder="1" applyProtection="1">
      <protection hidden="1"/>
    </xf>
    <xf numFmtId="0" fontId="0" fillId="17" borderId="0" xfId="0" applyFill="1" applyAlignment="1" applyProtection="1">
      <alignment horizontal="center"/>
      <protection hidden="1"/>
    </xf>
    <xf numFmtId="0" fontId="4" fillId="17" borderId="0" xfId="0" applyFont="1" applyFill="1" applyProtection="1">
      <protection hidden="1"/>
    </xf>
    <xf numFmtId="0" fontId="0" fillId="18" borderId="0" xfId="0" applyFill="1" applyAlignment="1" applyProtection="1">
      <alignment horizontal="center"/>
      <protection hidden="1"/>
    </xf>
    <xf numFmtId="0" fontId="0" fillId="12" borderId="0" xfId="0" applyFill="1" applyAlignment="1" applyProtection="1">
      <alignment horizontal="left"/>
      <protection hidden="1"/>
    </xf>
    <xf numFmtId="0" fontId="4" fillId="17" borderId="0" xfId="0" applyFont="1" applyFill="1" applyAlignment="1" applyProtection="1">
      <alignment horizontal="right"/>
      <protection hidden="1"/>
    </xf>
    <xf numFmtId="0" fontId="4" fillId="18" borderId="0" xfId="0" applyFont="1" applyFill="1" applyAlignment="1" applyProtection="1">
      <alignment horizontal="right"/>
      <protection hidden="1"/>
    </xf>
    <xf numFmtId="0" fontId="0" fillId="17" borderId="0" xfId="0" applyFill="1" applyAlignment="1" applyProtection="1">
      <alignment horizontal="right"/>
      <protection hidden="1"/>
    </xf>
    <xf numFmtId="0" fontId="24" fillId="4" borderId="7" xfId="0" applyFont="1" applyFill="1" applyBorder="1" applyProtection="1">
      <protection hidden="1"/>
    </xf>
    <xf numFmtId="0" fontId="0" fillId="4" borderId="4" xfId="0" applyFill="1" applyBorder="1" applyProtection="1">
      <protection hidden="1"/>
    </xf>
    <xf numFmtId="0" fontId="0" fillId="4" borderId="8" xfId="0" applyFill="1" applyBorder="1" applyProtection="1">
      <protection hidden="1"/>
    </xf>
    <xf numFmtId="0" fontId="0" fillId="4" borderId="9" xfId="0" applyFill="1" applyBorder="1" applyProtection="1">
      <protection hidden="1"/>
    </xf>
    <xf numFmtId="0" fontId="0" fillId="4" borderId="3" xfId="0" applyFill="1" applyBorder="1" applyProtection="1">
      <protection hidden="1"/>
    </xf>
    <xf numFmtId="1" fontId="0" fillId="14" borderId="2" xfId="0" applyNumberFormat="1" applyFill="1" applyBorder="1" applyAlignment="1" applyProtection="1">
      <alignment horizontal="center"/>
      <protection hidden="1"/>
    </xf>
    <xf numFmtId="0" fontId="24" fillId="4" borderId="9" xfId="0" applyFont="1" applyFill="1" applyBorder="1" applyProtection="1">
      <protection hidden="1"/>
    </xf>
    <xf numFmtId="0" fontId="69" fillId="4" borderId="0" xfId="0" applyFont="1" applyFill="1" applyAlignment="1" applyProtection="1">
      <alignment horizontal="center" vertical="center" wrapText="1"/>
      <protection hidden="1"/>
    </xf>
    <xf numFmtId="0" fontId="69" fillId="4" borderId="0" xfId="0" applyFont="1" applyFill="1" applyAlignment="1" applyProtection="1">
      <alignment horizontal="center" vertical="center"/>
      <protection hidden="1"/>
    </xf>
    <xf numFmtId="0" fontId="4" fillId="4" borderId="9" xfId="0" applyFont="1" applyFill="1" applyBorder="1" applyAlignment="1" applyProtection="1">
      <alignment horizontal="left"/>
      <protection hidden="1"/>
    </xf>
    <xf numFmtId="2" fontId="60" fillId="4" borderId="0" xfId="0" applyNumberFormat="1" applyFont="1" applyFill="1" applyAlignment="1" applyProtection="1">
      <alignment horizontal="center"/>
      <protection hidden="1"/>
    </xf>
    <xf numFmtId="0" fontId="4" fillId="4" borderId="9" xfId="0" applyFont="1" applyFill="1" applyBorder="1" applyProtection="1">
      <protection hidden="1"/>
    </xf>
    <xf numFmtId="0" fontId="0" fillId="4" borderId="9" xfId="0" applyFill="1" applyBorder="1" applyAlignment="1" applyProtection="1">
      <alignment horizontal="center"/>
      <protection hidden="1"/>
    </xf>
    <xf numFmtId="174" fontId="0" fillId="6" borderId="1" xfId="0" applyNumberFormat="1" applyFill="1" applyBorder="1" applyProtection="1">
      <protection hidden="1"/>
    </xf>
    <xf numFmtId="0" fontId="2" fillId="4" borderId="9" xfId="0" applyFont="1" applyFill="1" applyBorder="1" applyProtection="1">
      <protection hidden="1"/>
    </xf>
    <xf numFmtId="44" fontId="35" fillId="4" borderId="0" xfId="4" applyFont="1" applyFill="1" applyBorder="1" applyProtection="1">
      <protection hidden="1"/>
    </xf>
    <xf numFmtId="169" fontId="4" fillId="0" borderId="1" xfId="0" applyNumberFormat="1" applyFont="1" applyBorder="1" applyAlignment="1" applyProtection="1">
      <alignment horizontal="center"/>
      <protection hidden="1"/>
    </xf>
    <xf numFmtId="44" fontId="4" fillId="4" borderId="0" xfId="4" applyFont="1" applyFill="1" applyBorder="1" applyAlignment="1" applyProtection="1">
      <alignment horizontal="center"/>
      <protection hidden="1"/>
    </xf>
    <xf numFmtId="0" fontId="4" fillId="4" borderId="3" xfId="0" applyFont="1" applyFill="1" applyBorder="1" applyProtection="1">
      <protection hidden="1"/>
    </xf>
    <xf numFmtId="10" fontId="31" fillId="6" borderId="1" xfId="11" applyNumberFormat="1" applyFont="1" applyFill="1" applyBorder="1" applyAlignment="1" applyProtection="1">
      <alignment horizontal="center"/>
      <protection hidden="1"/>
    </xf>
    <xf numFmtId="44" fontId="35" fillId="4" borderId="1" xfId="4" applyFont="1" applyFill="1" applyBorder="1" applyAlignment="1" applyProtection="1">
      <alignment horizontal="center"/>
      <protection hidden="1"/>
    </xf>
    <xf numFmtId="44" fontId="0" fillId="4" borderId="1" xfId="0" applyNumberFormat="1" applyFill="1" applyBorder="1" applyAlignment="1" applyProtection="1">
      <alignment horizontal="center"/>
      <protection hidden="1"/>
    </xf>
    <xf numFmtId="44" fontId="35" fillId="4" borderId="1" xfId="4" applyFont="1" applyFill="1" applyBorder="1" applyProtection="1">
      <protection hidden="1"/>
    </xf>
    <xf numFmtId="174" fontId="0" fillId="4" borderId="1" xfId="0" applyNumberFormat="1" applyFill="1" applyBorder="1" applyAlignment="1" applyProtection="1">
      <alignment horizontal="center"/>
      <protection hidden="1"/>
    </xf>
    <xf numFmtId="174" fontId="0" fillId="4" borderId="2" xfId="0" applyNumberFormat="1" applyFill="1" applyBorder="1" applyAlignment="1" applyProtection="1">
      <alignment horizontal="center"/>
      <protection hidden="1"/>
    </xf>
    <xf numFmtId="44" fontId="35" fillId="4" borderId="12" xfId="4" applyFont="1" applyFill="1" applyBorder="1" applyProtection="1">
      <protection hidden="1"/>
    </xf>
    <xf numFmtId="169" fontId="0" fillId="4" borderId="0" xfId="0" applyNumberFormat="1" applyFill="1" applyAlignment="1" applyProtection="1">
      <alignment horizontal="center"/>
      <protection hidden="1"/>
    </xf>
    <xf numFmtId="44" fontId="4" fillId="4" borderId="0" xfId="4" applyFont="1" applyFill="1" applyBorder="1" applyProtection="1">
      <protection hidden="1"/>
    </xf>
    <xf numFmtId="44" fontId="4" fillId="4" borderId="5" xfId="4" applyFont="1" applyFill="1" applyBorder="1" applyProtection="1">
      <protection hidden="1"/>
    </xf>
    <xf numFmtId="44" fontId="4" fillId="4" borderId="0" xfId="0" applyNumberFormat="1" applyFont="1" applyFill="1" applyProtection="1">
      <protection hidden="1"/>
    </xf>
    <xf numFmtId="174" fontId="4" fillId="4" borderId="0" xfId="0" applyNumberFormat="1" applyFont="1" applyFill="1" applyAlignment="1" applyProtection="1">
      <alignment horizontal="center"/>
      <protection hidden="1"/>
    </xf>
    <xf numFmtId="0" fontId="0" fillId="6" borderId="1" xfId="0" applyFill="1" applyBorder="1" applyAlignment="1" applyProtection="1">
      <alignment horizontal="center"/>
      <protection hidden="1"/>
    </xf>
    <xf numFmtId="0" fontId="67" fillId="4" borderId="0" xfId="0" applyFont="1" applyFill="1" applyProtection="1">
      <protection hidden="1"/>
    </xf>
    <xf numFmtId="164" fontId="35" fillId="4" borderId="1" xfId="4" applyNumberFormat="1" applyFont="1" applyFill="1" applyBorder="1" applyProtection="1">
      <protection hidden="1"/>
    </xf>
    <xf numFmtId="168" fontId="0" fillId="4" borderId="1" xfId="0" applyNumberFormat="1" applyFill="1" applyBorder="1" applyAlignment="1" applyProtection="1">
      <alignment horizontal="center"/>
      <protection hidden="1"/>
    </xf>
    <xf numFmtId="0" fontId="2" fillId="4" borderId="0" xfId="0" applyFont="1" applyFill="1" applyAlignment="1" applyProtection="1">
      <alignment horizontal="left" vertical="center"/>
      <protection hidden="1"/>
    </xf>
    <xf numFmtId="10" fontId="14" fillId="4" borderId="7" xfId="11" applyNumberFormat="1" applyFont="1" applyFill="1" applyBorder="1" applyProtection="1">
      <protection hidden="1"/>
    </xf>
    <xf numFmtId="0" fontId="60" fillId="4" borderId="3" xfId="0" applyFont="1" applyFill="1" applyBorder="1" applyProtection="1">
      <protection hidden="1"/>
    </xf>
    <xf numFmtId="0" fontId="2" fillId="0" borderId="0" xfId="0" applyFont="1" applyAlignment="1" applyProtection="1">
      <alignment horizontal="right"/>
      <protection hidden="1"/>
    </xf>
    <xf numFmtId="0" fontId="0" fillId="0" borderId="9" xfId="0" applyBorder="1" applyAlignment="1" applyProtection="1">
      <alignment horizontal="center"/>
      <protection hidden="1"/>
    </xf>
    <xf numFmtId="44" fontId="27" fillId="0" borderId="0" xfId="4" applyFont="1" applyFill="1" applyBorder="1" applyProtection="1">
      <protection hidden="1"/>
    </xf>
    <xf numFmtId="0" fontId="0" fillId="0" borderId="3" xfId="0" applyBorder="1" applyAlignment="1" applyProtection="1">
      <alignment horizontal="center"/>
      <protection hidden="1"/>
    </xf>
    <xf numFmtId="9" fontId="2" fillId="0" borderId="0" xfId="0" applyNumberFormat="1" applyFont="1" applyAlignment="1" applyProtection="1">
      <alignment horizontal="right"/>
      <protection hidden="1"/>
    </xf>
    <xf numFmtId="44" fontId="2" fillId="0" borderId="1" xfId="4" applyFont="1" applyFill="1" applyBorder="1" applyAlignment="1" applyProtection="1">
      <alignment horizontal="center"/>
      <protection hidden="1"/>
    </xf>
    <xf numFmtId="44" fontId="44" fillId="0" borderId="0" xfId="4" applyFont="1" applyFill="1" applyProtection="1">
      <protection hidden="1"/>
    </xf>
    <xf numFmtId="0" fontId="4" fillId="0" borderId="9" xfId="0" applyFont="1" applyBorder="1" applyAlignment="1" applyProtection="1">
      <alignment horizontal="left"/>
      <protection hidden="1"/>
    </xf>
    <xf numFmtId="0" fontId="24" fillId="12" borderId="0" xfId="0" applyFont="1" applyFill="1" applyAlignment="1" applyProtection="1">
      <alignment horizontal="left" vertical="center"/>
      <protection hidden="1"/>
    </xf>
    <xf numFmtId="0" fontId="24" fillId="10" borderId="7" xfId="0" applyFont="1" applyFill="1" applyBorder="1" applyProtection="1">
      <protection hidden="1"/>
    </xf>
    <xf numFmtId="0" fontId="0" fillId="10" borderId="4" xfId="0" applyFill="1" applyBorder="1" applyProtection="1">
      <protection hidden="1"/>
    </xf>
    <xf numFmtId="0" fontId="0" fillId="10" borderId="8" xfId="0" applyFill="1" applyBorder="1" applyProtection="1">
      <protection hidden="1"/>
    </xf>
    <xf numFmtId="0" fontId="4" fillId="0" borderId="1" xfId="9" applyBorder="1" applyAlignment="1" applyProtection="1">
      <alignment horizontal="left"/>
      <protection hidden="1"/>
    </xf>
    <xf numFmtId="0" fontId="4" fillId="0" borderId="1" xfId="9" applyBorder="1" applyProtection="1">
      <protection hidden="1"/>
    </xf>
    <xf numFmtId="9" fontId="4" fillId="0" borderId="0" xfId="9" applyNumberFormat="1" applyAlignment="1" applyProtection="1">
      <alignment horizontal="center" vertical="center" wrapText="1"/>
      <protection hidden="1"/>
    </xf>
    <xf numFmtId="0" fontId="5" fillId="4" borderId="0" xfId="0" applyFont="1" applyFill="1" applyProtection="1">
      <protection hidden="1"/>
    </xf>
    <xf numFmtId="15" fontId="2" fillId="6" borderId="1" xfId="0" applyNumberFormat="1"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44" fontId="4" fillId="2" borderId="1" xfId="1" applyNumberFormat="1" applyFont="1" applyFill="1" applyBorder="1" applyAlignment="1" applyProtection="1">
      <alignment horizontal="left"/>
      <protection locked="0"/>
    </xf>
    <xf numFmtId="44" fontId="4" fillId="2" borderId="1" xfId="1" applyNumberFormat="1" applyFont="1" applyFill="1" applyBorder="1" applyAlignment="1" applyProtection="1">
      <alignment horizontal="center"/>
      <protection locked="0"/>
    </xf>
    <xf numFmtId="44" fontId="0" fillId="2" borderId="1" xfId="4" applyFont="1" applyFill="1" applyBorder="1" applyAlignment="1" applyProtection="1">
      <alignment horizontal="center" vertical="center"/>
      <protection locked="0"/>
    </xf>
    <xf numFmtId="44" fontId="4" fillId="2" borderId="1" xfId="4" applyFont="1" applyFill="1" applyBorder="1" applyAlignment="1" applyProtection="1">
      <alignment horizontal="center" vertical="center"/>
      <protection locked="0"/>
    </xf>
    <xf numFmtId="44" fontId="4" fillId="6" borderId="1" xfId="0" applyNumberFormat="1" applyFont="1" applyFill="1" applyBorder="1" applyProtection="1">
      <protection locked="0"/>
    </xf>
    <xf numFmtId="44" fontId="0" fillId="2" borderId="1" xfId="4" applyFont="1" applyFill="1" applyBorder="1" applyProtection="1">
      <protection locked="0"/>
    </xf>
    <xf numFmtId="44" fontId="0" fillId="24" borderId="1" xfId="0" applyNumberFormat="1" applyFill="1" applyBorder="1" applyProtection="1">
      <protection hidden="1"/>
    </xf>
    <xf numFmtId="44" fontId="0" fillId="6" borderId="1" xfId="0" applyNumberFormat="1" applyFill="1" applyBorder="1" applyProtection="1">
      <protection locked="0"/>
    </xf>
    <xf numFmtId="2" fontId="0" fillId="7" borderId="0" xfId="0" applyNumberFormat="1" applyFill="1" applyAlignment="1" applyProtection="1">
      <alignment horizontal="center"/>
      <protection hidden="1"/>
    </xf>
    <xf numFmtId="172" fontId="0" fillId="7" borderId="0" xfId="0" applyNumberFormat="1" applyFill="1" applyAlignment="1" applyProtection="1">
      <alignment horizontal="center"/>
      <protection hidden="1"/>
    </xf>
    <xf numFmtId="0" fontId="0" fillId="7" borderId="0" xfId="0" applyFill="1" applyAlignment="1" applyProtection="1">
      <alignment horizontal="left"/>
      <protection hidden="1"/>
    </xf>
    <xf numFmtId="0" fontId="4" fillId="7" borderId="0" xfId="0" applyFont="1" applyFill="1" applyAlignment="1" applyProtection="1">
      <alignment horizontal="center"/>
      <protection hidden="1"/>
    </xf>
    <xf numFmtId="2" fontId="0" fillId="7" borderId="0" xfId="0" applyNumberFormat="1" applyFill="1" applyProtection="1">
      <protection hidden="1"/>
    </xf>
    <xf numFmtId="10" fontId="44" fillId="23" borderId="1" xfId="11" applyNumberFormat="1" applyFont="1" applyFill="1" applyBorder="1" applyAlignment="1" applyProtection="1">
      <alignment horizontal="center"/>
      <protection hidden="1"/>
    </xf>
    <xf numFmtId="0" fontId="72" fillId="0" borderId="0" xfId="0" applyFont="1" applyProtection="1">
      <protection hidden="1"/>
    </xf>
    <xf numFmtId="0" fontId="73" fillId="0" borderId="0" xfId="0" applyFont="1" applyAlignment="1" applyProtection="1">
      <alignment horizontal="left"/>
      <protection hidden="1"/>
    </xf>
    <xf numFmtId="0" fontId="69" fillId="0" borderId="0" xfId="4" applyNumberFormat="1" applyFont="1" applyProtection="1">
      <protection hidden="1"/>
    </xf>
    <xf numFmtId="0" fontId="1" fillId="0" borderId="0" xfId="0" applyFont="1" applyProtection="1">
      <protection hidden="1"/>
    </xf>
    <xf numFmtId="0" fontId="74" fillId="4" borderId="0" xfId="0" applyFont="1" applyFill="1" applyProtection="1">
      <protection hidden="1"/>
    </xf>
    <xf numFmtId="0" fontId="71" fillId="0" borderId="0" xfId="0" applyFont="1" applyProtection="1">
      <protection hidden="1"/>
    </xf>
    <xf numFmtId="172" fontId="0" fillId="7" borderId="1" xfId="0" applyNumberFormat="1" applyFill="1" applyBorder="1" applyProtection="1">
      <protection hidden="1"/>
    </xf>
    <xf numFmtId="0" fontId="2" fillId="7" borderId="1" xfId="0" applyFont="1" applyFill="1" applyBorder="1" applyAlignment="1" applyProtection="1">
      <alignment horizontal="center"/>
      <protection hidden="1"/>
    </xf>
    <xf numFmtId="10" fontId="0" fillId="7" borderId="1" xfId="11" applyNumberFormat="1" applyFont="1" applyFill="1" applyBorder="1" applyAlignment="1" applyProtection="1">
      <alignment horizontal="center"/>
      <protection hidden="1"/>
    </xf>
    <xf numFmtId="0" fontId="0" fillId="7" borderId="0" xfId="0" applyFill="1" applyAlignment="1" applyProtection="1">
      <alignment horizontal="right"/>
      <protection hidden="1"/>
    </xf>
    <xf numFmtId="0" fontId="24" fillId="7" borderId="0" xfId="0" applyFont="1" applyFill="1" applyAlignment="1" applyProtection="1">
      <alignment horizontal="right"/>
      <protection hidden="1"/>
    </xf>
    <xf numFmtId="9" fontId="0" fillId="7" borderId="0" xfId="0" applyNumberFormat="1" applyFill="1" applyProtection="1">
      <protection hidden="1"/>
    </xf>
    <xf numFmtId="0" fontId="60" fillId="7" borderId="0" xfId="0" applyFont="1" applyFill="1" applyProtection="1">
      <protection hidden="1"/>
    </xf>
    <xf numFmtId="0" fontId="4" fillId="0" borderId="0" xfId="9" applyProtection="1">
      <protection hidden="1"/>
    </xf>
    <xf numFmtId="14" fontId="4" fillId="0" borderId="1" xfId="5" applyNumberFormat="1" applyFont="1" applyFill="1" applyBorder="1" applyAlignment="1" applyProtection="1">
      <alignment horizontal="center"/>
      <protection hidden="1"/>
    </xf>
    <xf numFmtId="0" fontId="4" fillId="0" borderId="0" xfId="9" applyAlignment="1" applyProtection="1">
      <alignment horizontal="left"/>
      <protection hidden="1"/>
    </xf>
    <xf numFmtId="0" fontId="73" fillId="0" borderId="0" xfId="9" applyFont="1" applyProtection="1">
      <protection hidden="1"/>
    </xf>
    <xf numFmtId="0" fontId="2" fillId="0" borderId="0" xfId="9" applyFont="1" applyAlignment="1" applyProtection="1">
      <alignment wrapText="1"/>
      <protection hidden="1"/>
    </xf>
    <xf numFmtId="0" fontId="2" fillId="0" borderId="0" xfId="9" applyFont="1" applyProtection="1">
      <protection hidden="1"/>
    </xf>
    <xf numFmtId="0" fontId="5" fillId="0" borderId="0" xfId="9" applyFont="1" applyProtection="1">
      <protection hidden="1"/>
    </xf>
    <xf numFmtId="0" fontId="4" fillId="0" borderId="16" xfId="9" applyBorder="1" applyProtection="1">
      <protection hidden="1"/>
    </xf>
    <xf numFmtId="0" fontId="4" fillId="0" borderId="17" xfId="9" applyBorder="1" applyAlignment="1" applyProtection="1">
      <alignment horizontal="right"/>
      <protection hidden="1"/>
    </xf>
    <xf numFmtId="0" fontId="4" fillId="0" borderId="17" xfId="9" applyBorder="1" applyProtection="1">
      <protection hidden="1"/>
    </xf>
    <xf numFmtId="0" fontId="4" fillId="0" borderId="18" xfId="9" applyBorder="1" applyAlignment="1" applyProtection="1">
      <alignment horizontal="right"/>
      <protection hidden="1"/>
    </xf>
    <xf numFmtId="0" fontId="4" fillId="0" borderId="19" xfId="9" applyBorder="1" applyProtection="1">
      <protection hidden="1"/>
    </xf>
    <xf numFmtId="44" fontId="4" fillId="0" borderId="0" xfId="9" applyNumberFormat="1" applyProtection="1">
      <protection hidden="1"/>
    </xf>
    <xf numFmtId="0" fontId="4" fillId="0" borderId="21" xfId="9" applyBorder="1" applyProtection="1">
      <protection hidden="1"/>
    </xf>
    <xf numFmtId="0" fontId="4" fillId="0" borderId="2" xfId="9" applyBorder="1" applyProtection="1">
      <protection hidden="1"/>
    </xf>
    <xf numFmtId="0" fontId="4" fillId="0" borderId="22" xfId="9" applyBorder="1" applyProtection="1">
      <protection hidden="1"/>
    </xf>
    <xf numFmtId="164" fontId="4" fillId="0" borderId="0" xfId="9" applyNumberFormat="1" applyProtection="1">
      <protection hidden="1"/>
    </xf>
    <xf numFmtId="0" fontId="70" fillId="0" borderId="0" xfId="9" applyFont="1" applyProtection="1">
      <protection hidden="1"/>
    </xf>
    <xf numFmtId="0" fontId="4" fillId="0" borderId="0" xfId="9" applyAlignment="1" applyProtection="1">
      <alignment horizontal="center" vertical="center" wrapText="1"/>
      <protection hidden="1"/>
    </xf>
    <xf numFmtId="44" fontId="35" fillId="0" borderId="1" xfId="5" applyFont="1" applyFill="1" applyBorder="1" applyProtection="1">
      <protection hidden="1"/>
    </xf>
    <xf numFmtId="44" fontId="4" fillId="0" borderId="0" xfId="5" applyFont="1" applyFill="1" applyBorder="1" applyProtection="1">
      <protection hidden="1"/>
    </xf>
    <xf numFmtId="44" fontId="4" fillId="0" borderId="1" xfId="5" applyFont="1" applyFill="1" applyBorder="1" applyProtection="1">
      <protection hidden="1"/>
    </xf>
    <xf numFmtId="44" fontId="4" fillId="0" borderId="0" xfId="5" applyFont="1" applyFill="1" applyProtection="1">
      <protection hidden="1"/>
    </xf>
    <xf numFmtId="0" fontId="4" fillId="0" borderId="0" xfId="9" applyAlignment="1" applyProtection="1">
      <alignment horizontal="right"/>
      <protection hidden="1"/>
    </xf>
    <xf numFmtId="1" fontId="60" fillId="0" borderId="0" xfId="9" applyNumberFormat="1" applyFont="1" applyProtection="1">
      <protection hidden="1"/>
    </xf>
    <xf numFmtId="0" fontId="60" fillId="0" borderId="3" xfId="0" applyFont="1" applyBorder="1" applyProtection="1">
      <protection hidden="1"/>
    </xf>
    <xf numFmtId="0" fontId="60" fillId="0" borderId="0" xfId="9" applyFont="1" applyProtection="1">
      <protection hidden="1"/>
    </xf>
    <xf numFmtId="44" fontId="60" fillId="0" borderId="0" xfId="5" applyFont="1" applyFill="1" applyProtection="1">
      <protection hidden="1"/>
    </xf>
    <xf numFmtId="1" fontId="4" fillId="0" borderId="0" xfId="9" applyNumberFormat="1" applyProtection="1">
      <protection hidden="1"/>
    </xf>
    <xf numFmtId="173" fontId="4" fillId="0" borderId="0" xfId="9" applyNumberFormat="1" applyProtection="1">
      <protection hidden="1"/>
    </xf>
    <xf numFmtId="44" fontId="2" fillId="0" borderId="0" xfId="5" applyFont="1" applyFill="1" applyProtection="1">
      <protection hidden="1"/>
    </xf>
    <xf numFmtId="43" fontId="4" fillId="0" borderId="0" xfId="9" applyNumberFormat="1" applyProtection="1">
      <protection hidden="1"/>
    </xf>
    <xf numFmtId="164" fontId="4" fillId="0" borderId="0" xfId="5" applyNumberFormat="1" applyFont="1" applyFill="1" applyProtection="1">
      <protection hidden="1"/>
    </xf>
    <xf numFmtId="0" fontId="2" fillId="0" borderId="0" xfId="9" applyFont="1" applyAlignment="1" applyProtection="1">
      <alignment vertical="center"/>
      <protection hidden="1"/>
    </xf>
    <xf numFmtId="44" fontId="2" fillId="0" borderId="0" xfId="5" applyFont="1" applyFill="1" applyAlignment="1" applyProtection="1">
      <alignment horizontal="center"/>
      <protection hidden="1"/>
    </xf>
    <xf numFmtId="0" fontId="4" fillId="0" borderId="7" xfId="9" applyBorder="1" applyProtection="1">
      <protection hidden="1"/>
    </xf>
    <xf numFmtId="0" fontId="24" fillId="0" borderId="4" xfId="9" applyFont="1" applyBorder="1" applyProtection="1">
      <protection hidden="1"/>
    </xf>
    <xf numFmtId="0" fontId="4" fillId="0" borderId="4" xfId="9" applyBorder="1" applyProtection="1">
      <protection hidden="1"/>
    </xf>
    <xf numFmtId="0" fontId="4" fillId="0" borderId="8" xfId="9" applyBorder="1" applyProtection="1">
      <protection hidden="1"/>
    </xf>
    <xf numFmtId="0" fontId="4" fillId="0" borderId="9" xfId="9" applyBorder="1" applyProtection="1">
      <protection hidden="1"/>
    </xf>
    <xf numFmtId="0" fontId="4" fillId="0" borderId="3" xfId="9" applyBorder="1" applyProtection="1">
      <protection hidden="1"/>
    </xf>
    <xf numFmtId="44" fontId="30" fillId="0" borderId="0" xfId="4" applyFont="1" applyFill="1" applyBorder="1" applyAlignment="1" applyProtection="1">
      <alignment horizontal="center"/>
      <protection hidden="1"/>
    </xf>
    <xf numFmtId="0" fontId="24" fillId="0" borderId="3" xfId="9" applyFont="1" applyBorder="1" applyAlignment="1" applyProtection="1">
      <alignment horizontal="center"/>
      <protection hidden="1"/>
    </xf>
    <xf numFmtId="44" fontId="4" fillId="0" borderId="3" xfId="4" applyFont="1" applyFill="1" applyBorder="1" applyProtection="1">
      <protection hidden="1"/>
    </xf>
    <xf numFmtId="0" fontId="4" fillId="0" borderId="9" xfId="9" applyBorder="1" applyAlignment="1" applyProtection="1">
      <alignment horizontal="left"/>
      <protection hidden="1"/>
    </xf>
    <xf numFmtId="44" fontId="4" fillId="0" borderId="8" xfId="4" applyFont="1" applyFill="1" applyBorder="1" applyProtection="1">
      <protection hidden="1"/>
    </xf>
    <xf numFmtId="8" fontId="4" fillId="0" borderId="0" xfId="9" applyNumberFormat="1" applyProtection="1">
      <protection hidden="1"/>
    </xf>
    <xf numFmtId="44" fontId="4" fillId="0" borderId="4" xfId="4" applyFont="1" applyFill="1" applyBorder="1" applyProtection="1">
      <protection hidden="1"/>
    </xf>
    <xf numFmtId="0" fontId="4" fillId="0" borderId="10" xfId="9" applyBorder="1" applyProtection="1">
      <protection hidden="1"/>
    </xf>
    <xf numFmtId="44" fontId="4" fillId="0" borderId="25" xfId="4" applyFont="1" applyFill="1" applyBorder="1" applyProtection="1">
      <protection hidden="1"/>
    </xf>
    <xf numFmtId="0" fontId="4" fillId="0" borderId="12" xfId="9" applyBorder="1" applyProtection="1">
      <protection hidden="1"/>
    </xf>
    <xf numFmtId="44" fontId="4" fillId="0" borderId="2" xfId="4" applyFont="1" applyFill="1" applyBorder="1" applyProtection="1">
      <protection hidden="1"/>
    </xf>
    <xf numFmtId="44" fontId="4" fillId="0" borderId="0" xfId="5" applyFont="1" applyFill="1" applyBorder="1" applyAlignment="1" applyProtection="1">
      <alignment horizontal="center"/>
      <protection hidden="1"/>
    </xf>
    <xf numFmtId="9" fontId="4" fillId="0" borderId="0" xfId="13" applyFont="1" applyFill="1" applyAlignment="1" applyProtection="1">
      <alignment horizontal="center"/>
      <protection hidden="1"/>
    </xf>
    <xf numFmtId="0" fontId="2" fillId="0" borderId="0" xfId="9" applyFont="1" applyAlignment="1" applyProtection="1">
      <alignment horizontal="left"/>
      <protection hidden="1"/>
    </xf>
    <xf numFmtId="10" fontId="4" fillId="0" borderId="0" xfId="12" applyNumberFormat="1" applyFont="1" applyFill="1" applyBorder="1" applyAlignment="1" applyProtection="1">
      <alignment horizontal="center"/>
      <protection hidden="1"/>
    </xf>
    <xf numFmtId="0" fontId="24" fillId="0" borderId="0" xfId="9" applyFont="1" applyProtection="1">
      <protection hidden="1"/>
    </xf>
    <xf numFmtId="9" fontId="4" fillId="0" borderId="0" xfId="13" applyFont="1" applyFill="1" applyBorder="1" applyAlignment="1" applyProtection="1">
      <alignment horizontal="center"/>
      <protection hidden="1"/>
    </xf>
    <xf numFmtId="0" fontId="5" fillId="0" borderId="0" xfId="9" applyFont="1" applyAlignment="1" applyProtection="1">
      <alignment horizontal="center"/>
      <protection hidden="1"/>
    </xf>
    <xf numFmtId="0" fontId="61" fillId="0" borderId="0" xfId="9" applyFont="1" applyAlignment="1" applyProtection="1">
      <alignment vertical="center" wrapText="1"/>
      <protection hidden="1"/>
    </xf>
    <xf numFmtId="0" fontId="24" fillId="0" borderId="0" xfId="9" applyFont="1" applyAlignment="1" applyProtection="1">
      <alignment horizontal="center"/>
      <protection hidden="1"/>
    </xf>
    <xf numFmtId="164" fontId="4" fillId="11" borderId="0" xfId="5" applyNumberFormat="1" applyFont="1" applyFill="1" applyBorder="1" applyProtection="1">
      <protection hidden="1"/>
    </xf>
    <xf numFmtId="0" fontId="1" fillId="11" borderId="0" xfId="0" applyFont="1" applyFill="1" applyProtection="1">
      <protection hidden="1"/>
    </xf>
    <xf numFmtId="44" fontId="2" fillId="0" borderId="0" xfId="4" applyFont="1" applyBorder="1" applyAlignment="1" applyProtection="1">
      <alignment horizontal="left"/>
      <protection hidden="1"/>
    </xf>
    <xf numFmtId="0" fontId="69" fillId="0" borderId="0" xfId="0" applyFont="1" applyAlignment="1" applyProtection="1">
      <alignment horizontal="left"/>
      <protection hidden="1"/>
    </xf>
    <xf numFmtId="0" fontId="1" fillId="0" borderId="0" xfId="9" applyFont="1" applyProtection="1">
      <protection hidden="1"/>
    </xf>
    <xf numFmtId="44" fontId="2" fillId="0" borderId="0" xfId="4" applyFont="1" applyAlignment="1" applyProtection="1">
      <alignment horizontal="left"/>
      <protection hidden="1"/>
    </xf>
    <xf numFmtId="0" fontId="75" fillId="0" borderId="0" xfId="0" applyFont="1" applyProtection="1">
      <protection hidden="1"/>
    </xf>
    <xf numFmtId="0" fontId="76" fillId="0" borderId="0" xfId="0" applyFont="1" applyProtection="1">
      <protection hidden="1"/>
    </xf>
    <xf numFmtId="0" fontId="24" fillId="7" borderId="0" xfId="0" applyFont="1" applyFill="1" applyAlignment="1" applyProtection="1">
      <alignment horizontal="center" wrapText="1"/>
      <protection hidden="1"/>
    </xf>
    <xf numFmtId="0" fontId="1" fillId="7" borderId="0" xfId="0" applyFont="1" applyFill="1" applyProtection="1">
      <protection hidden="1"/>
    </xf>
    <xf numFmtId="0" fontId="24" fillId="22" borderId="0" xfId="0" applyFont="1" applyFill="1" applyProtection="1">
      <protection hidden="1"/>
    </xf>
    <xf numFmtId="0" fontId="4" fillId="0" borderId="0" xfId="9" applyAlignment="1" applyProtection="1">
      <alignment horizontal="center"/>
      <protection hidden="1"/>
    </xf>
    <xf numFmtId="172" fontId="0" fillId="2" borderId="1" xfId="4" applyNumberFormat="1" applyFont="1" applyFill="1" applyBorder="1" applyAlignment="1" applyProtection="1">
      <alignment horizontal="center"/>
      <protection locked="0"/>
    </xf>
    <xf numFmtId="10" fontId="0" fillId="2" borderId="1" xfId="11" applyNumberFormat="1" applyFont="1" applyFill="1" applyBorder="1" applyAlignment="1" applyProtection="1">
      <alignment horizontal="center"/>
      <protection locked="0"/>
    </xf>
    <xf numFmtId="44" fontId="0" fillId="2" borderId="1" xfId="4" applyFont="1" applyFill="1" applyBorder="1" applyAlignment="1" applyProtection="1">
      <alignment horizontal="center"/>
      <protection locked="0"/>
    </xf>
    <xf numFmtId="172" fontId="0" fillId="6" borderId="1" xfId="0" applyNumberFormat="1" applyFill="1" applyBorder="1" applyAlignment="1" applyProtection="1">
      <alignment horizontal="center" vertical="center"/>
      <protection locked="0"/>
    </xf>
    <xf numFmtId="15" fontId="4" fillId="6" borderId="1" xfId="0" applyNumberFormat="1" applyFont="1" applyFill="1" applyBorder="1" applyAlignment="1" applyProtection="1">
      <alignment horizontal="center"/>
      <protection locked="0"/>
    </xf>
    <xf numFmtId="10" fontId="4" fillId="0" borderId="0" xfId="9" applyNumberFormat="1" applyProtection="1">
      <protection hidden="1"/>
    </xf>
    <xf numFmtId="0" fontId="4" fillId="0" borderId="0" xfId="5" applyNumberFormat="1" applyFont="1" applyFill="1" applyProtection="1">
      <protection hidden="1"/>
    </xf>
    <xf numFmtId="43" fontId="4" fillId="0" borderId="0" xfId="5" applyNumberFormat="1" applyFont="1" applyFill="1" applyProtection="1">
      <protection hidden="1"/>
    </xf>
    <xf numFmtId="9" fontId="4" fillId="0" borderId="0" xfId="5" applyNumberFormat="1" applyFont="1" applyFill="1" applyProtection="1">
      <protection hidden="1"/>
    </xf>
    <xf numFmtId="10" fontId="4" fillId="0" borderId="0" xfId="5" applyNumberFormat="1" applyFont="1" applyFill="1" applyProtection="1">
      <protection hidden="1"/>
    </xf>
    <xf numFmtId="9" fontId="4" fillId="0" borderId="0" xfId="9" applyNumberFormat="1" applyProtection="1">
      <protection hidden="1"/>
    </xf>
    <xf numFmtId="43" fontId="4" fillId="0" borderId="0" xfId="9" applyNumberFormat="1" applyAlignment="1" applyProtection="1">
      <alignment horizontal="right"/>
      <protection hidden="1"/>
    </xf>
    <xf numFmtId="9" fontId="4" fillId="0" borderId="0" xfId="9" applyNumberFormat="1" applyAlignment="1" applyProtection="1">
      <alignment horizontal="right"/>
      <protection hidden="1"/>
    </xf>
    <xf numFmtId="10" fontId="4" fillId="0" borderId="0" xfId="9" applyNumberFormat="1" applyAlignment="1" applyProtection="1">
      <alignment horizontal="right"/>
      <protection hidden="1"/>
    </xf>
    <xf numFmtId="0" fontId="4" fillId="10" borderId="0" xfId="9" applyFill="1" applyProtection="1">
      <protection hidden="1"/>
    </xf>
    <xf numFmtId="10" fontId="4" fillId="10" borderId="0" xfId="9" applyNumberFormat="1" applyFill="1" applyProtection="1">
      <protection hidden="1"/>
    </xf>
    <xf numFmtId="43" fontId="4" fillId="10" borderId="0" xfId="5" applyNumberFormat="1" applyFont="1" applyFill="1" applyProtection="1">
      <protection hidden="1"/>
    </xf>
    <xf numFmtId="9" fontId="4" fillId="10" borderId="0" xfId="5" applyNumberFormat="1" applyFont="1" applyFill="1" applyProtection="1">
      <protection hidden="1"/>
    </xf>
    <xf numFmtId="10" fontId="4" fillId="10" borderId="0" xfId="5" applyNumberFormat="1" applyFont="1" applyFill="1" applyProtection="1">
      <protection hidden="1"/>
    </xf>
    <xf numFmtId="9" fontId="4" fillId="10" borderId="0" xfId="9" applyNumberFormat="1" applyFill="1" applyProtection="1">
      <protection hidden="1"/>
    </xf>
    <xf numFmtId="43" fontId="4" fillId="10" borderId="0" xfId="9" applyNumberFormat="1" applyFill="1" applyAlignment="1" applyProtection="1">
      <alignment horizontal="right"/>
      <protection hidden="1"/>
    </xf>
    <xf numFmtId="9" fontId="4" fillId="10" borderId="0" xfId="9" applyNumberFormat="1" applyFill="1" applyAlignment="1" applyProtection="1">
      <alignment horizontal="right"/>
      <protection hidden="1"/>
    </xf>
    <xf numFmtId="10" fontId="4" fillId="10" borderId="0" xfId="9" applyNumberFormat="1" applyFill="1" applyAlignment="1" applyProtection="1">
      <alignment horizontal="right"/>
      <protection hidden="1"/>
    </xf>
    <xf numFmtId="43" fontId="4" fillId="11" borderId="5" xfId="9" applyNumberFormat="1" applyFill="1" applyBorder="1" applyProtection="1">
      <protection hidden="1"/>
    </xf>
    <xf numFmtId="0" fontId="0" fillId="11" borderId="4" xfId="0" applyFill="1" applyBorder="1" applyProtection="1">
      <protection hidden="1"/>
    </xf>
    <xf numFmtId="0" fontId="63" fillId="11" borderId="4" xfId="0" applyFont="1" applyFill="1" applyBorder="1" applyProtection="1">
      <protection hidden="1"/>
    </xf>
    <xf numFmtId="8" fontId="63" fillId="11" borderId="9" xfId="0" applyNumberFormat="1" applyFont="1" applyFill="1" applyBorder="1" applyProtection="1">
      <protection hidden="1"/>
    </xf>
    <xf numFmtId="0" fontId="63" fillId="11" borderId="3" xfId="0" applyFont="1" applyFill="1" applyBorder="1" applyProtection="1">
      <protection hidden="1"/>
    </xf>
    <xf numFmtId="0" fontId="63" fillId="11" borderId="10" xfId="0" applyFont="1" applyFill="1" applyBorder="1" applyProtection="1">
      <protection hidden="1"/>
    </xf>
    <xf numFmtId="0" fontId="0" fillId="11" borderId="12" xfId="0" applyFill="1" applyBorder="1" applyProtection="1">
      <protection hidden="1"/>
    </xf>
    <xf numFmtId="0" fontId="63" fillId="11" borderId="12" xfId="0" applyFont="1" applyFill="1" applyBorder="1" applyProtection="1">
      <protection hidden="1"/>
    </xf>
    <xf numFmtId="0" fontId="63" fillId="11" borderId="11" xfId="0" applyFont="1" applyFill="1" applyBorder="1" applyProtection="1">
      <protection hidden="1"/>
    </xf>
    <xf numFmtId="0" fontId="65" fillId="11" borderId="0" xfId="0" applyFont="1" applyFill="1" applyAlignment="1" applyProtection="1">
      <alignment horizontal="left"/>
      <protection hidden="1"/>
    </xf>
    <xf numFmtId="44" fontId="63" fillId="11" borderId="0" xfId="0" applyNumberFormat="1" applyFont="1" applyFill="1" applyProtection="1">
      <protection hidden="1"/>
    </xf>
    <xf numFmtId="10" fontId="63" fillId="11" borderId="0" xfId="11" applyNumberFormat="1" applyFont="1" applyFill="1" applyBorder="1" applyProtection="1">
      <protection hidden="1"/>
    </xf>
    <xf numFmtId="0" fontId="65" fillId="11" borderId="7" xfId="0" applyFont="1" applyFill="1" applyBorder="1" applyProtection="1">
      <protection hidden="1"/>
    </xf>
    <xf numFmtId="0" fontId="63" fillId="11" borderId="8" xfId="0" applyFont="1" applyFill="1" applyBorder="1" applyProtection="1">
      <protection hidden="1"/>
    </xf>
    <xf numFmtId="0" fontId="63" fillId="11" borderId="9" xfId="0" applyFont="1" applyFill="1" applyBorder="1" applyProtection="1">
      <protection hidden="1"/>
    </xf>
    <xf numFmtId="0" fontId="65" fillId="11" borderId="9" xfId="0" applyFont="1" applyFill="1" applyBorder="1" applyProtection="1">
      <protection hidden="1"/>
    </xf>
    <xf numFmtId="0" fontId="65" fillId="11" borderId="3" xfId="0" applyFont="1" applyFill="1" applyBorder="1" applyAlignment="1" applyProtection="1">
      <alignment horizontal="left"/>
      <protection hidden="1"/>
    </xf>
    <xf numFmtId="44" fontId="63" fillId="11" borderId="9" xfId="4" applyFont="1" applyFill="1" applyBorder="1" applyProtection="1">
      <protection hidden="1"/>
    </xf>
    <xf numFmtId="44" fontId="63" fillId="11" borderId="3" xfId="0" applyNumberFormat="1" applyFont="1" applyFill="1" applyBorder="1" applyProtection="1">
      <protection hidden="1"/>
    </xf>
    <xf numFmtId="0" fontId="0" fillId="11" borderId="9" xfId="0" applyFill="1" applyBorder="1" applyProtection="1">
      <protection hidden="1"/>
    </xf>
    <xf numFmtId="0" fontId="65" fillId="11" borderId="9" xfId="0" applyFont="1" applyFill="1" applyBorder="1" applyAlignment="1" applyProtection="1">
      <alignment horizontal="left"/>
      <protection hidden="1"/>
    </xf>
    <xf numFmtId="0" fontId="4" fillId="11" borderId="1" xfId="0" applyFont="1" applyFill="1" applyBorder="1" applyProtection="1">
      <protection hidden="1"/>
    </xf>
    <xf numFmtId="10" fontId="0" fillId="11" borderId="1" xfId="0" applyNumberFormat="1" applyFill="1" applyBorder="1" applyProtection="1">
      <protection hidden="1"/>
    </xf>
    <xf numFmtId="164" fontId="17" fillId="10" borderId="0" xfId="4" applyNumberFormat="1" applyFont="1" applyFill="1" applyProtection="1">
      <protection hidden="1"/>
    </xf>
    <xf numFmtId="2" fontId="0" fillId="10" borderId="0" xfId="0" applyNumberFormat="1" applyFill="1" applyAlignment="1" applyProtection="1">
      <alignment horizontal="center"/>
      <protection hidden="1"/>
    </xf>
    <xf numFmtId="44" fontId="0" fillId="10" borderId="0" xfId="0" applyNumberFormat="1" applyFill="1" applyAlignment="1" applyProtection="1">
      <alignment horizontal="center"/>
      <protection hidden="1"/>
    </xf>
    <xf numFmtId="2" fontId="4" fillId="10" borderId="0" xfId="11" applyNumberFormat="1" applyFont="1" applyFill="1" applyAlignment="1" applyProtection="1">
      <alignment horizontal="center"/>
      <protection hidden="1"/>
    </xf>
    <xf numFmtId="8" fontId="0" fillId="10" borderId="0" xfId="0" applyNumberFormat="1" applyFill="1" applyAlignment="1" applyProtection="1">
      <alignment horizontal="center"/>
      <protection hidden="1"/>
    </xf>
    <xf numFmtId="164" fontId="30" fillId="10" borderId="0" xfId="4" applyNumberFormat="1" applyFont="1" applyFill="1" applyAlignment="1" applyProtection="1">
      <alignment horizontal="center" vertical="center"/>
      <protection hidden="1"/>
    </xf>
    <xf numFmtId="0" fontId="30" fillId="10" borderId="0" xfId="0" applyFont="1" applyFill="1" applyAlignment="1" applyProtection="1">
      <alignment horizontal="center" vertical="center"/>
      <protection hidden="1"/>
    </xf>
    <xf numFmtId="0" fontId="30" fillId="10" borderId="0" xfId="0" applyFont="1" applyFill="1" applyAlignment="1" applyProtection="1">
      <alignment horizontal="center" vertical="center" wrapText="1"/>
      <protection hidden="1"/>
    </xf>
    <xf numFmtId="8" fontId="4" fillId="10" borderId="0" xfId="11" applyNumberFormat="1" applyFont="1" applyFill="1" applyAlignment="1" applyProtection="1">
      <alignment horizontal="center"/>
      <protection hidden="1"/>
    </xf>
    <xf numFmtId="0" fontId="2" fillId="4" borderId="12" xfId="0" applyFont="1" applyFill="1" applyBorder="1" applyAlignment="1" applyProtection="1">
      <alignment horizontal="center"/>
      <protection hidden="1"/>
    </xf>
    <xf numFmtId="0" fontId="2" fillId="4" borderId="12" xfId="0" applyFont="1" applyFill="1" applyBorder="1" applyProtection="1">
      <protection hidden="1"/>
    </xf>
    <xf numFmtId="2" fontId="4" fillId="10" borderId="1" xfId="0" applyNumberFormat="1" applyFont="1" applyFill="1" applyBorder="1" applyAlignment="1" applyProtection="1">
      <alignment horizontal="center" wrapText="1"/>
      <protection hidden="1"/>
    </xf>
    <xf numFmtId="2" fontId="1" fillId="10" borderId="1" xfId="0" applyNumberFormat="1" applyFont="1" applyFill="1" applyBorder="1" applyAlignment="1" applyProtection="1">
      <alignment horizontal="center" vertical="center" wrapText="1"/>
      <protection hidden="1"/>
    </xf>
    <xf numFmtId="0" fontId="0" fillId="24" borderId="1" xfId="0" applyFill="1" applyBorder="1" applyAlignment="1" applyProtection="1">
      <alignment horizontal="left"/>
      <protection hidden="1"/>
    </xf>
    <xf numFmtId="0" fontId="1" fillId="4" borderId="0" xfId="0" applyFont="1" applyFill="1" applyAlignment="1" applyProtection="1">
      <alignment horizontal="right"/>
      <protection hidden="1"/>
    </xf>
    <xf numFmtId="0" fontId="2" fillId="24" borderId="1" xfId="0" applyFont="1" applyFill="1" applyBorder="1" applyAlignment="1" applyProtection="1">
      <alignment horizontal="left" vertical="center"/>
      <protection hidden="1"/>
    </xf>
    <xf numFmtId="0" fontId="2" fillId="24" borderId="1" xfId="0" applyFont="1" applyFill="1" applyBorder="1" applyAlignment="1" applyProtection="1">
      <alignment horizontal="center" vertical="center"/>
      <protection hidden="1"/>
    </xf>
    <xf numFmtId="0" fontId="2" fillId="4" borderId="0" xfId="0" applyFont="1" applyFill="1" applyAlignment="1" applyProtection="1">
      <alignment horizontal="center" vertical="center" wrapText="1"/>
      <protection hidden="1"/>
    </xf>
    <xf numFmtId="8" fontId="0" fillId="0" borderId="0" xfId="0" applyNumberFormat="1" applyAlignment="1" applyProtection="1">
      <alignment horizontal="center"/>
      <protection hidden="1"/>
    </xf>
    <xf numFmtId="178" fontId="0" fillId="0" borderId="0" xfId="0" applyNumberFormat="1" applyAlignment="1" applyProtection="1">
      <alignment horizontal="center" vertical="center"/>
      <protection hidden="1"/>
    </xf>
    <xf numFmtId="2" fontId="0" fillId="10" borderId="0" xfId="0" applyNumberFormat="1" applyFill="1" applyProtection="1">
      <protection hidden="1"/>
    </xf>
    <xf numFmtId="10" fontId="2" fillId="0" borderId="0" xfId="11" applyNumberFormat="1" applyFont="1" applyBorder="1" applyAlignment="1" applyProtection="1">
      <alignment horizontal="center"/>
      <protection hidden="1"/>
    </xf>
    <xf numFmtId="0" fontId="2" fillId="4" borderId="0" xfId="0" applyFont="1" applyFill="1" applyAlignment="1" applyProtection="1">
      <alignment horizontal="center" wrapText="1"/>
      <protection hidden="1"/>
    </xf>
    <xf numFmtId="10" fontId="31" fillId="6" borderId="0" xfId="11" applyNumberFormat="1" applyFont="1" applyFill="1" applyBorder="1" applyAlignment="1" applyProtection="1">
      <alignment horizontal="center"/>
      <protection hidden="1"/>
    </xf>
    <xf numFmtId="174" fontId="0" fillId="4" borderId="0" xfId="0" applyNumberFormat="1" applyFill="1" applyAlignment="1" applyProtection="1">
      <alignment horizontal="center"/>
      <protection hidden="1"/>
    </xf>
    <xf numFmtId="44" fontId="0" fillId="10" borderId="26" xfId="0" applyNumberFormat="1" applyFill="1" applyBorder="1" applyProtection="1">
      <protection hidden="1"/>
    </xf>
    <xf numFmtId="0" fontId="2" fillId="26" borderId="1" xfId="0" applyFont="1" applyFill="1" applyBorder="1" applyAlignment="1" applyProtection="1">
      <alignment horizontal="center" vertical="center"/>
      <protection hidden="1"/>
    </xf>
    <xf numFmtId="10" fontId="0" fillId="26" borderId="1" xfId="11" applyNumberFormat="1" applyFont="1" applyFill="1" applyBorder="1" applyAlignment="1" applyProtection="1">
      <alignment horizontal="center"/>
      <protection hidden="1"/>
    </xf>
    <xf numFmtId="0" fontId="2" fillId="26" borderId="1" xfId="0" applyFont="1" applyFill="1" applyBorder="1" applyAlignment="1" applyProtection="1">
      <alignment horizontal="center"/>
      <protection hidden="1"/>
    </xf>
    <xf numFmtId="44" fontId="0" fillId="26" borderId="1" xfId="0" applyNumberFormat="1" applyFill="1" applyBorder="1" applyProtection="1">
      <protection hidden="1"/>
    </xf>
    <xf numFmtId="0" fontId="1" fillId="4" borderId="0" xfId="0" applyFont="1" applyFill="1" applyAlignment="1" applyProtection="1">
      <alignment horizontal="left"/>
      <protection hidden="1"/>
    </xf>
    <xf numFmtId="44" fontId="0" fillId="27" borderId="1" xfId="0" applyNumberFormat="1" applyFill="1" applyBorder="1" applyAlignment="1" applyProtection="1">
      <alignment horizontal="center"/>
      <protection hidden="1"/>
    </xf>
    <xf numFmtId="44" fontId="0" fillId="27" borderId="1" xfId="0" applyNumberFormat="1" applyFill="1" applyBorder="1" applyAlignment="1" applyProtection="1">
      <alignment horizontal="center" vertical="center"/>
      <protection hidden="1"/>
    </xf>
    <xf numFmtId="0" fontId="77" fillId="0" borderId="0" xfId="0" applyFont="1" applyAlignment="1" applyProtection="1">
      <alignment vertical="center"/>
      <protection hidden="1"/>
    </xf>
    <xf numFmtId="172" fontId="77" fillId="0" borderId="0" xfId="0" applyNumberFormat="1" applyFont="1" applyAlignment="1" applyProtection="1">
      <alignment horizontal="right"/>
      <protection hidden="1"/>
    </xf>
    <xf numFmtId="44" fontId="28" fillId="0" borderId="0" xfId="5" applyFont="1" applyFill="1" applyBorder="1" applyAlignment="1" applyProtection="1">
      <alignment horizontal="center"/>
      <protection hidden="1"/>
    </xf>
    <xf numFmtId="0" fontId="2" fillId="0" borderId="0" xfId="9" applyFont="1" applyAlignment="1" applyProtection="1">
      <alignment horizontal="center"/>
      <protection hidden="1"/>
    </xf>
    <xf numFmtId="0" fontId="1" fillId="15" borderId="1" xfId="0" applyFont="1" applyFill="1" applyBorder="1" applyAlignment="1" applyProtection="1">
      <alignment horizontal="center"/>
      <protection hidden="1"/>
    </xf>
    <xf numFmtId="10" fontId="0" fillId="15" borderId="1" xfId="0" applyNumberFormat="1" applyFill="1" applyBorder="1" applyAlignment="1" applyProtection="1">
      <alignment horizontal="center"/>
      <protection hidden="1"/>
    </xf>
    <xf numFmtId="10" fontId="4" fillId="11" borderId="0" xfId="9" applyNumberFormat="1" applyFill="1" applyAlignment="1" applyProtection="1">
      <alignment horizontal="center"/>
      <protection hidden="1"/>
    </xf>
    <xf numFmtId="164" fontId="4" fillId="11" borderId="20" xfId="9" applyNumberFormat="1" applyFill="1" applyBorder="1" applyProtection="1">
      <protection hidden="1"/>
    </xf>
    <xf numFmtId="0" fontId="4" fillId="11" borderId="23" xfId="9" applyFill="1" applyBorder="1" applyProtection="1">
      <protection hidden="1"/>
    </xf>
    <xf numFmtId="164" fontId="4" fillId="11" borderId="24" xfId="9" applyNumberFormat="1" applyFill="1" applyBorder="1" applyProtection="1">
      <protection hidden="1"/>
    </xf>
    <xf numFmtId="43" fontId="4" fillId="17" borderId="0" xfId="9" applyNumberFormat="1" applyFill="1" applyProtection="1">
      <protection hidden="1"/>
    </xf>
    <xf numFmtId="0" fontId="0" fillId="11" borderId="21" xfId="0" applyFill="1" applyBorder="1" applyProtection="1">
      <protection hidden="1"/>
    </xf>
    <xf numFmtId="173" fontId="1" fillId="2" borderId="1" xfId="1" applyNumberFormat="1" applyFont="1" applyFill="1" applyBorder="1" applyAlignment="1" applyProtection="1">
      <alignment horizontal="left"/>
      <protection locked="0"/>
    </xf>
    <xf numFmtId="172" fontId="1" fillId="2" borderId="1" xfId="4" applyNumberFormat="1" applyFont="1" applyFill="1" applyBorder="1" applyAlignment="1" applyProtection="1">
      <alignment horizontal="center"/>
      <protection locked="0"/>
    </xf>
    <xf numFmtId="172" fontId="1" fillId="6" borderId="1" xfId="4" applyNumberFormat="1" applyFont="1" applyFill="1" applyBorder="1" applyAlignment="1" applyProtection="1">
      <alignment horizontal="center"/>
      <protection locked="0"/>
    </xf>
    <xf numFmtId="10" fontId="0" fillId="7" borderId="0" xfId="0" applyNumberFormat="1" applyFill="1" applyProtection="1">
      <protection hidden="1"/>
    </xf>
    <xf numFmtId="9" fontId="63" fillId="0" borderId="0" xfId="0" applyNumberFormat="1" applyFont="1" applyProtection="1">
      <protection hidden="1"/>
    </xf>
    <xf numFmtId="0" fontId="1" fillId="0" borderId="0" xfId="9" applyFont="1" applyAlignment="1" applyProtection="1">
      <alignment vertical="center" wrapText="1"/>
      <protection hidden="1"/>
    </xf>
    <xf numFmtId="0" fontId="0" fillId="29" borderId="0" xfId="0" applyFill="1" applyProtection="1">
      <protection hidden="1"/>
    </xf>
    <xf numFmtId="0" fontId="0" fillId="29" borderId="4" xfId="0" applyFill="1" applyBorder="1" applyProtection="1">
      <protection hidden="1"/>
    </xf>
    <xf numFmtId="0" fontId="1" fillId="30" borderId="10" xfId="0" applyFont="1" applyFill="1" applyBorder="1" applyProtection="1">
      <protection hidden="1"/>
    </xf>
    <xf numFmtId="9" fontId="0" fillId="30" borderId="12" xfId="0" applyNumberFormat="1" applyFill="1" applyBorder="1" applyAlignment="1" applyProtection="1">
      <alignment horizontal="center"/>
      <protection hidden="1"/>
    </xf>
    <xf numFmtId="0" fontId="0" fillId="30" borderId="12" xfId="0" applyFill="1" applyBorder="1" applyProtection="1">
      <protection hidden="1"/>
    </xf>
    <xf numFmtId="0" fontId="1" fillId="30" borderId="12" xfId="0" applyFont="1" applyFill="1" applyBorder="1" applyProtection="1">
      <protection hidden="1"/>
    </xf>
    <xf numFmtId="9" fontId="0" fillId="30" borderId="11" xfId="0" applyNumberFormat="1" applyFill="1" applyBorder="1" applyAlignment="1" applyProtection="1">
      <alignment horizontal="center"/>
      <protection hidden="1"/>
    </xf>
    <xf numFmtId="0" fontId="60" fillId="10" borderId="0" xfId="0" applyFont="1" applyFill="1" applyProtection="1">
      <protection hidden="1"/>
    </xf>
    <xf numFmtId="9" fontId="60" fillId="10" borderId="0" xfId="0" applyNumberFormat="1" applyFont="1" applyFill="1" applyProtection="1">
      <protection hidden="1"/>
    </xf>
    <xf numFmtId="44" fontId="60" fillId="10" borderId="0" xfId="0" applyNumberFormat="1" applyFont="1" applyFill="1" applyProtection="1">
      <protection hidden="1"/>
    </xf>
    <xf numFmtId="0" fontId="63" fillId="10" borderId="0" xfId="0" applyFont="1" applyFill="1" applyProtection="1">
      <protection hidden="1"/>
    </xf>
    <xf numFmtId="44" fontId="60" fillId="10" borderId="4" xfId="0" applyNumberFormat="1" applyFont="1" applyFill="1" applyBorder="1" applyProtection="1">
      <protection hidden="1"/>
    </xf>
    <xf numFmtId="44" fontId="1" fillId="2" borderId="1" xfId="4" applyFont="1" applyFill="1" applyBorder="1" applyAlignment="1" applyProtection="1">
      <alignment horizontal="center" vertical="center"/>
      <protection locked="0"/>
    </xf>
    <xf numFmtId="0" fontId="60" fillId="10" borderId="10" xfId="0" applyFont="1" applyFill="1" applyBorder="1" applyProtection="1">
      <protection hidden="1"/>
    </xf>
    <xf numFmtId="44" fontId="60" fillId="10" borderId="11" xfId="0" applyNumberFormat="1" applyFont="1" applyFill="1" applyBorder="1" applyProtection="1">
      <protection hidden="1"/>
    </xf>
    <xf numFmtId="0" fontId="78" fillId="10" borderId="7" xfId="0" applyFont="1" applyFill="1" applyBorder="1" applyProtection="1">
      <protection hidden="1"/>
    </xf>
    <xf numFmtId="0" fontId="60" fillId="10" borderId="4" xfId="0" applyFont="1" applyFill="1" applyBorder="1" applyProtection="1">
      <protection hidden="1"/>
    </xf>
    <xf numFmtId="0" fontId="60" fillId="10" borderId="8" xfId="0" applyFont="1" applyFill="1" applyBorder="1" applyProtection="1">
      <protection hidden="1"/>
    </xf>
    <xf numFmtId="0" fontId="60" fillId="10" borderId="9" xfId="0" applyFont="1" applyFill="1" applyBorder="1" applyProtection="1">
      <protection hidden="1"/>
    </xf>
    <xf numFmtId="44" fontId="60" fillId="10" borderId="3" xfId="0" applyNumberFormat="1" applyFont="1" applyFill="1" applyBorder="1" applyProtection="1">
      <protection hidden="1"/>
    </xf>
    <xf numFmtId="0" fontId="60" fillId="15" borderId="0" xfId="0" applyFont="1" applyFill="1" applyProtection="1">
      <protection hidden="1"/>
    </xf>
    <xf numFmtId="0" fontId="4" fillId="15" borderId="0" xfId="0" applyFont="1" applyFill="1" applyProtection="1">
      <protection hidden="1"/>
    </xf>
    <xf numFmtId="44" fontId="1" fillId="2" borderId="1" xfId="4" applyFont="1" applyFill="1" applyBorder="1" applyProtection="1">
      <protection locked="0" hidden="1"/>
    </xf>
    <xf numFmtId="44" fontId="1" fillId="2" borderId="1" xfId="4" applyFont="1" applyFill="1" applyBorder="1" applyProtection="1">
      <protection locked="0"/>
    </xf>
    <xf numFmtId="44" fontId="1" fillId="13" borderId="1" xfId="4" applyFont="1" applyFill="1" applyBorder="1" applyProtection="1">
      <protection hidden="1"/>
    </xf>
    <xf numFmtId="178" fontId="1" fillId="4" borderId="0" xfId="0" applyNumberFormat="1" applyFont="1" applyFill="1" applyProtection="1">
      <protection hidden="1"/>
    </xf>
    <xf numFmtId="0" fontId="1" fillId="15" borderId="0" xfId="0" applyFont="1" applyFill="1" applyProtection="1">
      <protection hidden="1"/>
    </xf>
    <xf numFmtId="44" fontId="1" fillId="15" borderId="0" xfId="4" applyFont="1" applyFill="1" applyProtection="1">
      <protection hidden="1"/>
    </xf>
    <xf numFmtId="44" fontId="1" fillId="15" borderId="0" xfId="0" applyNumberFormat="1" applyFont="1" applyFill="1" applyProtection="1">
      <protection hidden="1"/>
    </xf>
    <xf numFmtId="0" fontId="1" fillId="15" borderId="0" xfId="0" applyFont="1" applyFill="1" applyAlignment="1" applyProtection="1">
      <alignment horizontal="left"/>
      <protection hidden="1"/>
    </xf>
    <xf numFmtId="0" fontId="1" fillId="0" borderId="0" xfId="0" applyFont="1" applyAlignment="1" applyProtection="1">
      <alignment horizontal="center"/>
      <protection hidden="1"/>
    </xf>
    <xf numFmtId="44" fontId="1" fillId="0" borderId="0" xfId="4" applyFont="1" applyFill="1" applyProtection="1">
      <protection hidden="1"/>
    </xf>
    <xf numFmtId="44" fontId="51" fillId="0" borderId="0" xfId="0" applyNumberFormat="1" applyFont="1" applyProtection="1">
      <protection hidden="1"/>
    </xf>
    <xf numFmtId="44" fontId="1" fillId="0" borderId="0" xfId="0" applyNumberFormat="1" applyFont="1" applyAlignment="1" applyProtection="1">
      <alignment horizontal="center"/>
      <protection hidden="1"/>
    </xf>
    <xf numFmtId="44" fontId="1" fillId="0" borderId="0" xfId="0" applyNumberFormat="1" applyFont="1" applyProtection="1">
      <protection hidden="1"/>
    </xf>
    <xf numFmtId="10" fontId="1" fillId="0" borderId="1" xfId="11" applyNumberFormat="1" applyFont="1" applyBorder="1" applyAlignment="1" applyProtection="1">
      <alignment horizontal="center"/>
      <protection hidden="1"/>
    </xf>
    <xf numFmtId="0" fontId="1" fillId="10" borderId="8" xfId="0" applyFont="1" applyFill="1" applyBorder="1" applyProtection="1">
      <protection hidden="1"/>
    </xf>
    <xf numFmtId="0" fontId="1" fillId="10" borderId="9" xfId="0" applyFont="1" applyFill="1" applyBorder="1" applyProtection="1">
      <protection hidden="1"/>
    </xf>
    <xf numFmtId="44" fontId="1" fillId="10" borderId="3" xfId="0" applyNumberFormat="1" applyFont="1" applyFill="1" applyBorder="1" applyProtection="1">
      <protection hidden="1"/>
    </xf>
    <xf numFmtId="0" fontId="1" fillId="10" borderId="10" xfId="0" applyFont="1" applyFill="1" applyBorder="1" applyProtection="1">
      <protection hidden="1"/>
    </xf>
    <xf numFmtId="44" fontId="1" fillId="10" borderId="11" xfId="0" applyNumberFormat="1" applyFont="1" applyFill="1" applyBorder="1" applyProtection="1">
      <protection hidden="1"/>
    </xf>
    <xf numFmtId="44" fontId="1" fillId="4" borderId="0" xfId="0" applyNumberFormat="1" applyFont="1" applyFill="1" applyProtection="1">
      <protection hidden="1"/>
    </xf>
    <xf numFmtId="44" fontId="1" fillId="10" borderId="8" xfId="0" applyNumberFormat="1" applyFont="1" applyFill="1" applyBorder="1" applyProtection="1">
      <protection hidden="1"/>
    </xf>
    <xf numFmtId="171" fontId="79" fillId="35" borderId="0" xfId="7" applyFont="1" applyFill="1" applyAlignment="1">
      <alignment horizontal="left" vertical="center"/>
    </xf>
    <xf numFmtId="171" fontId="80" fillId="35" borderId="0" xfId="7" applyFont="1" applyFill="1" applyAlignment="1">
      <alignment vertical="center"/>
    </xf>
    <xf numFmtId="171" fontId="81" fillId="35" borderId="0" xfId="7" applyFont="1" applyFill="1" applyAlignment="1">
      <alignment horizontal="left" vertical="center"/>
    </xf>
    <xf numFmtId="2" fontId="81" fillId="35" borderId="0" xfId="7" applyNumberFormat="1" applyFont="1" applyFill="1" applyAlignment="1">
      <alignment horizontal="right" vertical="center"/>
    </xf>
    <xf numFmtId="171" fontId="81" fillId="35" borderId="0" xfId="7" applyFont="1" applyFill="1" applyAlignment="1">
      <alignment horizontal="right" vertical="center"/>
    </xf>
    <xf numFmtId="171" fontId="82" fillId="35" borderId="0" xfId="7" applyFont="1" applyFill="1"/>
    <xf numFmtId="171" fontId="84" fillId="35" borderId="0" xfId="15" applyFont="1" applyFill="1" applyAlignment="1">
      <alignment horizontal="right" vertical="center"/>
    </xf>
    <xf numFmtId="171" fontId="81" fillId="35" borderId="0" xfId="7" applyFont="1" applyFill="1" applyAlignment="1">
      <alignment vertical="center"/>
    </xf>
    <xf numFmtId="171" fontId="85" fillId="35" borderId="0" xfId="7" applyFont="1" applyFill="1" applyAlignment="1">
      <alignment horizontal="left" vertical="center"/>
    </xf>
    <xf numFmtId="2" fontId="85" fillId="35" borderId="0" xfId="7" applyNumberFormat="1" applyFont="1" applyFill="1" applyAlignment="1">
      <alignment horizontal="right" vertical="center"/>
    </xf>
    <xf numFmtId="171" fontId="86" fillId="35" borderId="0" xfId="7" applyFont="1" applyFill="1" applyAlignment="1">
      <alignment horizontal="left" vertical="center"/>
    </xf>
    <xf numFmtId="171" fontId="9" fillId="35" borderId="0" xfId="7" applyFont="1" applyFill="1" applyAlignment="1">
      <alignment vertical="center"/>
    </xf>
    <xf numFmtId="171" fontId="87" fillId="35" borderId="12" xfId="7" applyFont="1" applyFill="1" applyBorder="1" applyAlignment="1">
      <alignment horizontal="left" vertical="center"/>
    </xf>
    <xf numFmtId="171" fontId="87" fillId="35" borderId="12" xfId="7" applyFont="1" applyFill="1" applyBorder="1" applyAlignment="1">
      <alignment vertical="center"/>
    </xf>
    <xf numFmtId="2" fontId="87" fillId="35" borderId="12" xfId="7" applyNumberFormat="1" applyFont="1" applyFill="1" applyBorder="1" applyAlignment="1">
      <alignment horizontal="right" vertical="center"/>
    </xf>
    <xf numFmtId="171" fontId="87" fillId="35" borderId="12" xfId="7" applyFont="1" applyFill="1" applyBorder="1"/>
    <xf numFmtId="171" fontId="87" fillId="35" borderId="0" xfId="7" applyFont="1" applyFill="1" applyAlignment="1">
      <alignment vertical="center"/>
    </xf>
    <xf numFmtId="171" fontId="88" fillId="35" borderId="0" xfId="7" applyFont="1" applyFill="1" applyAlignment="1">
      <alignment horizontal="left" vertical="center"/>
    </xf>
    <xf numFmtId="171" fontId="10" fillId="35" borderId="0" xfId="7" applyFont="1" applyFill="1" applyAlignment="1">
      <alignment horizontal="left" vertical="center"/>
    </xf>
    <xf numFmtId="171" fontId="88" fillId="35" borderId="0" xfId="7" applyFont="1" applyFill="1" applyAlignment="1">
      <alignment vertical="center"/>
    </xf>
    <xf numFmtId="2" fontId="88" fillId="35" borderId="0" xfId="7" applyNumberFormat="1" applyFont="1" applyFill="1" applyAlignment="1">
      <alignment horizontal="right" vertical="center"/>
    </xf>
    <xf numFmtId="171" fontId="87" fillId="35" borderId="0" xfId="7" applyFont="1" applyFill="1"/>
    <xf numFmtId="171" fontId="82" fillId="35" borderId="12" xfId="7" applyFont="1" applyFill="1" applyBorder="1" applyAlignment="1">
      <alignment horizontal="centerContinuous" vertical="center"/>
    </xf>
    <xf numFmtId="171" fontId="82" fillId="35" borderId="0" xfId="7" applyFont="1" applyFill="1" applyAlignment="1">
      <alignment horizontal="centerContinuous" vertical="center"/>
    </xf>
    <xf numFmtId="171" fontId="9" fillId="35" borderId="0" xfId="7" applyFont="1" applyFill="1" applyAlignment="1">
      <alignment horizontal="centerContinuous" vertical="center"/>
    </xf>
    <xf numFmtId="171" fontId="87" fillId="35" borderId="0" xfId="7" applyFont="1" applyFill="1" applyAlignment="1">
      <alignment horizontal="left" vertical="center"/>
    </xf>
    <xf numFmtId="5" fontId="87" fillId="35" borderId="0" xfId="7" applyNumberFormat="1" applyFont="1" applyFill="1" applyAlignment="1">
      <alignment horizontal="right" vertical="center"/>
    </xf>
    <xf numFmtId="171" fontId="82" fillId="35" borderId="25" xfId="7" applyFont="1" applyFill="1" applyBorder="1" applyAlignment="1">
      <alignment horizontal="centerContinuous" vertical="center"/>
    </xf>
    <xf numFmtId="171" fontId="9" fillId="35" borderId="25" xfId="7" applyFont="1" applyFill="1" applyBorder="1" applyAlignment="1">
      <alignment horizontal="centerContinuous" vertical="center"/>
    </xf>
    <xf numFmtId="171" fontId="9" fillId="35" borderId="4" xfId="7" applyFont="1" applyFill="1" applyBorder="1" applyAlignment="1">
      <alignment horizontal="centerContinuous" vertical="center"/>
    </xf>
    <xf numFmtId="171" fontId="82" fillId="35" borderId="25" xfId="7" quotePrefix="1" applyFont="1" applyFill="1" applyBorder="1" applyAlignment="1">
      <alignment horizontal="centerContinuous" vertical="center"/>
    </xf>
    <xf numFmtId="2" fontId="82" fillId="35" borderId="0" xfId="7" applyNumberFormat="1" applyFont="1" applyFill="1" applyAlignment="1">
      <alignment horizontal="right" vertical="center"/>
    </xf>
    <xf numFmtId="171" fontId="82" fillId="35" borderId="0" xfId="7" applyFont="1" applyFill="1" applyAlignment="1">
      <alignment horizontal="center" vertical="center"/>
    </xf>
    <xf numFmtId="2" fontId="82" fillId="35" borderId="25" xfId="7" applyNumberFormat="1" applyFont="1" applyFill="1" applyBorder="1" applyAlignment="1">
      <alignment horizontal="centerContinuous" vertical="center"/>
    </xf>
    <xf numFmtId="171" fontId="87" fillId="35" borderId="0" xfId="7" applyFont="1" applyFill="1" applyAlignment="1">
      <alignment horizontal="right" vertical="center"/>
    </xf>
    <xf numFmtId="171" fontId="82" fillId="35" borderId="0" xfId="7" applyFont="1" applyFill="1" applyAlignment="1">
      <alignment horizontal="right" vertical="center"/>
    </xf>
    <xf numFmtId="171" fontId="82" fillId="35" borderId="4" xfId="7" applyFont="1" applyFill="1" applyBorder="1" applyAlignment="1">
      <alignment horizontal="right" vertical="center"/>
    </xf>
    <xf numFmtId="2" fontId="82" fillId="35" borderId="4" xfId="7" applyNumberFormat="1" applyFont="1" applyFill="1" applyBorder="1" applyAlignment="1">
      <alignment horizontal="right" vertical="center"/>
    </xf>
    <xf numFmtId="171" fontId="82" fillId="35" borderId="0" xfId="7" quotePrefix="1" applyFont="1" applyFill="1" applyAlignment="1">
      <alignment horizontal="right" vertical="center"/>
    </xf>
    <xf numFmtId="171" fontId="10" fillId="35" borderId="0" xfId="7" applyFont="1" applyFill="1" applyAlignment="1">
      <alignment vertical="center"/>
    </xf>
    <xf numFmtId="171" fontId="10" fillId="35" borderId="0" xfId="7" applyFont="1" applyFill="1"/>
    <xf numFmtId="3" fontId="87" fillId="35" borderId="0" xfId="7" applyNumberFormat="1" applyFont="1" applyFill="1" applyAlignment="1">
      <alignment horizontal="right" vertical="center"/>
    </xf>
    <xf numFmtId="38" fontId="87" fillId="35" borderId="0" xfId="16" applyNumberFormat="1" applyFont="1" applyFill="1" applyAlignment="1">
      <alignment horizontal="left" vertical="center"/>
    </xf>
    <xf numFmtId="38" fontId="10" fillId="35" borderId="0" xfId="16" applyNumberFormat="1" applyFont="1" applyFill="1" applyAlignment="1">
      <alignment vertical="center"/>
    </xf>
    <xf numFmtId="38" fontId="87" fillId="35" borderId="0" xfId="16" applyNumberFormat="1" applyFont="1" applyFill="1" applyAlignment="1">
      <alignment horizontal="right" vertical="center"/>
    </xf>
    <xf numFmtId="38" fontId="87" fillId="35" borderId="0" xfId="16" applyNumberFormat="1" applyFont="1" applyFill="1" applyAlignment="1">
      <alignment vertical="center"/>
    </xf>
    <xf numFmtId="2" fontId="87" fillId="35" borderId="0" xfId="7" applyNumberFormat="1" applyFont="1" applyFill="1" applyAlignment="1">
      <alignment horizontal="right" vertical="center"/>
    </xf>
    <xf numFmtId="167" fontId="87" fillId="35" borderId="0" xfId="7" applyNumberFormat="1" applyFont="1" applyFill="1" applyAlignment="1">
      <alignment horizontal="right" vertical="center"/>
    </xf>
    <xf numFmtId="167" fontId="87" fillId="35" borderId="0" xfId="7" applyNumberFormat="1" applyFont="1" applyFill="1" applyAlignment="1">
      <alignment horizontal="left" vertical="center"/>
    </xf>
    <xf numFmtId="167" fontId="10" fillId="35" borderId="0" xfId="7" applyNumberFormat="1" applyFont="1" applyFill="1" applyAlignment="1">
      <alignment vertical="center"/>
    </xf>
    <xf numFmtId="167" fontId="87" fillId="35" borderId="0" xfId="7" applyNumberFormat="1" applyFont="1" applyFill="1" applyAlignment="1">
      <alignment vertical="center"/>
    </xf>
    <xf numFmtId="171" fontId="90" fillId="35" borderId="0" xfId="7" applyFont="1" applyFill="1" applyAlignment="1">
      <alignment horizontal="left" vertical="center"/>
    </xf>
    <xf numFmtId="171" fontId="91" fillId="35" borderId="0" xfId="7" applyFont="1" applyFill="1" applyAlignment="1">
      <alignment vertical="center"/>
    </xf>
    <xf numFmtId="171" fontId="91" fillId="35" borderId="0" xfId="7" applyFont="1" applyFill="1" applyAlignment="1">
      <alignment horizontal="centerContinuous" vertical="center"/>
    </xf>
    <xf numFmtId="2" fontId="90" fillId="35" borderId="0" xfId="7" applyNumberFormat="1" applyFont="1" applyFill="1" applyAlignment="1">
      <alignment horizontal="centerContinuous" vertical="center"/>
    </xf>
    <xf numFmtId="171" fontId="90" fillId="35" borderId="0" xfId="7" applyFont="1" applyFill="1" applyAlignment="1">
      <alignment horizontal="centerContinuous" vertical="center"/>
    </xf>
    <xf numFmtId="171" fontId="90" fillId="35" borderId="0" xfId="7" applyFont="1" applyFill="1"/>
    <xf numFmtId="171" fontId="10" fillId="35" borderId="0" xfId="7" applyFont="1" applyFill="1" applyAlignment="1">
      <alignment horizontal="center" vertical="center"/>
    </xf>
    <xf numFmtId="171" fontId="10" fillId="35" borderId="0" xfId="7" applyFont="1" applyFill="1" applyAlignment="1">
      <alignment horizontal="right"/>
    </xf>
    <xf numFmtId="1" fontId="92" fillId="35" borderId="0" xfId="7" applyNumberFormat="1" applyFont="1" applyFill="1" applyAlignment="1">
      <alignment horizontal="left" vertical="center"/>
    </xf>
    <xf numFmtId="181" fontId="92" fillId="35" borderId="0" xfId="7" applyNumberFormat="1" applyFont="1" applyFill="1" applyAlignment="1">
      <alignment horizontal="left" vertical="center"/>
    </xf>
    <xf numFmtId="181" fontId="92" fillId="35" borderId="0" xfId="7" applyNumberFormat="1" applyFont="1" applyFill="1" applyAlignment="1">
      <alignment horizontal="center" vertical="center"/>
    </xf>
    <xf numFmtId="181" fontId="87" fillId="35" borderId="0" xfId="7" applyNumberFormat="1" applyFont="1" applyFill="1" applyAlignment="1">
      <alignment horizontal="right" vertical="center"/>
    </xf>
    <xf numFmtId="181" fontId="87" fillId="35" borderId="0" xfId="7" applyNumberFormat="1" applyFont="1" applyFill="1"/>
    <xf numFmtId="181" fontId="92" fillId="35" borderId="0" xfId="7" applyNumberFormat="1" applyFont="1" applyFill="1" applyAlignment="1">
      <alignment vertical="center"/>
    </xf>
    <xf numFmtId="1" fontId="93" fillId="35" borderId="0" xfId="7" applyNumberFormat="1" applyFont="1" applyFill="1" applyAlignment="1">
      <alignment horizontal="left" vertical="center"/>
    </xf>
    <xf numFmtId="1" fontId="93" fillId="35" borderId="0" xfId="7" applyNumberFormat="1" applyFont="1" applyFill="1" applyAlignment="1">
      <alignment horizontal="center" vertical="center"/>
    </xf>
    <xf numFmtId="1" fontId="94" fillId="35" borderId="0" xfId="7" applyNumberFormat="1" applyFont="1" applyFill="1" applyAlignment="1">
      <alignment horizontal="right" vertical="center"/>
    </xf>
    <xf numFmtId="1" fontId="87" fillId="35" borderId="0" xfId="7" applyNumberFormat="1" applyFont="1" applyFill="1"/>
    <xf numFmtId="1" fontId="93" fillId="35" borderId="0" xfId="7" applyNumberFormat="1" applyFont="1" applyFill="1" applyAlignment="1">
      <alignment vertical="center"/>
    </xf>
    <xf numFmtId="1" fontId="94" fillId="35" borderId="12" xfId="7" applyNumberFormat="1" applyFont="1" applyFill="1" applyBorder="1" applyAlignment="1">
      <alignment horizontal="right" vertical="center"/>
    </xf>
    <xf numFmtId="181" fontId="92" fillId="35" borderId="0" xfId="7" quotePrefix="1" applyNumberFormat="1" applyFont="1" applyFill="1" applyAlignment="1">
      <alignment horizontal="left" vertical="center"/>
    </xf>
    <xf numFmtId="171" fontId="92" fillId="35" borderId="0" xfId="7" applyFont="1" applyFill="1" applyAlignment="1">
      <alignment horizontal="center" vertical="center"/>
    </xf>
    <xf numFmtId="171" fontId="10" fillId="35" borderId="12" xfId="7" applyFont="1" applyFill="1" applyBorder="1" applyAlignment="1">
      <alignment horizontal="left" vertical="center"/>
    </xf>
    <xf numFmtId="171" fontId="10" fillId="35" borderId="12" xfId="7" applyFont="1" applyFill="1" applyBorder="1" applyAlignment="1">
      <alignment horizontal="center" vertical="center"/>
    </xf>
    <xf numFmtId="1" fontId="93" fillId="35" borderId="12" xfId="7" applyNumberFormat="1" applyFont="1" applyFill="1" applyBorder="1" applyAlignment="1">
      <alignment horizontal="center" vertical="center"/>
    </xf>
    <xf numFmtId="1" fontId="93" fillId="35" borderId="12" xfId="7" applyNumberFormat="1" applyFont="1" applyFill="1" applyBorder="1" applyAlignment="1">
      <alignment horizontal="right" vertical="center"/>
    </xf>
    <xf numFmtId="171" fontId="10" fillId="35" borderId="0" xfId="7" applyFont="1" applyFill="1" applyAlignment="1">
      <alignment horizontal="center"/>
    </xf>
    <xf numFmtId="2" fontId="10" fillId="35" borderId="0" xfId="7" applyNumberFormat="1" applyFont="1" applyFill="1" applyAlignment="1">
      <alignment horizontal="right"/>
    </xf>
    <xf numFmtId="181" fontId="96" fillId="35" borderId="0" xfId="7" applyNumberFormat="1" applyFont="1" applyFill="1" applyAlignment="1">
      <alignment horizontal="left" vertical="center"/>
    </xf>
    <xf numFmtId="181" fontId="96" fillId="35" borderId="0" xfId="7" applyNumberFormat="1" applyFont="1" applyFill="1" applyAlignment="1">
      <alignment vertical="center"/>
    </xf>
    <xf numFmtId="171" fontId="96" fillId="35" borderId="0" xfId="7" applyFont="1" applyFill="1" applyAlignment="1">
      <alignment horizontal="center" vertical="center"/>
    </xf>
    <xf numFmtId="181" fontId="96" fillId="35" borderId="0" xfId="7" applyNumberFormat="1" applyFont="1" applyFill="1" applyAlignment="1">
      <alignment horizontal="center" vertical="center"/>
    </xf>
    <xf numFmtId="181" fontId="82" fillId="35" borderId="0" xfId="7" applyNumberFormat="1" applyFont="1" applyFill="1" applyAlignment="1">
      <alignment horizontal="right" vertical="center"/>
    </xf>
    <xf numFmtId="171" fontId="9" fillId="35" borderId="12" xfId="7" applyFont="1" applyFill="1" applyBorder="1" applyAlignment="1">
      <alignment horizontal="left" vertical="center"/>
    </xf>
    <xf numFmtId="2" fontId="97" fillId="35" borderId="12" xfId="7" applyNumberFormat="1" applyFont="1" applyFill="1" applyBorder="1" applyAlignment="1">
      <alignment horizontal="left" vertical="center"/>
    </xf>
    <xf numFmtId="171" fontId="9" fillId="35" borderId="12" xfId="7" applyFont="1" applyFill="1" applyBorder="1" applyAlignment="1">
      <alignment horizontal="center" vertical="center"/>
    </xf>
    <xf numFmtId="171" fontId="82" fillId="35" borderId="12" xfId="7" applyFont="1" applyFill="1" applyBorder="1" applyAlignment="1">
      <alignment horizontal="right" vertical="center"/>
    </xf>
    <xf numFmtId="171" fontId="9" fillId="35" borderId="0" xfId="7" applyFont="1" applyFill="1" applyAlignment="1">
      <alignment horizontal="left" vertical="center"/>
    </xf>
    <xf numFmtId="2" fontId="97" fillId="35" borderId="0" xfId="7" applyNumberFormat="1" applyFont="1" applyFill="1" applyAlignment="1">
      <alignment horizontal="left" vertical="center"/>
    </xf>
    <xf numFmtId="171" fontId="9" fillId="35" borderId="0" xfId="7" applyFont="1" applyFill="1" applyAlignment="1">
      <alignment horizontal="center" vertical="center"/>
    </xf>
    <xf numFmtId="171" fontId="96" fillId="35" borderId="0" xfId="7" applyFont="1" applyFill="1" applyAlignment="1">
      <alignment horizontal="left" vertical="center"/>
    </xf>
    <xf numFmtId="171" fontId="96" fillId="35" borderId="0" xfId="7" applyFont="1" applyFill="1" applyAlignment="1">
      <alignment vertical="center"/>
    </xf>
    <xf numFmtId="171" fontId="92" fillId="35" borderId="0" xfId="7" applyFont="1" applyFill="1" applyAlignment="1">
      <alignment vertical="center"/>
    </xf>
    <xf numFmtId="181" fontId="96" fillId="35" borderId="0" xfId="7" quotePrefix="1" applyNumberFormat="1" applyFont="1" applyFill="1" applyAlignment="1">
      <alignment horizontal="left" vertical="center"/>
    </xf>
    <xf numFmtId="2" fontId="93" fillId="35" borderId="12" xfId="7" applyNumberFormat="1" applyFont="1" applyFill="1" applyBorder="1" applyAlignment="1">
      <alignment horizontal="left" vertical="center"/>
    </xf>
    <xf numFmtId="171" fontId="10" fillId="35" borderId="12" xfId="7" applyFont="1" applyFill="1" applyBorder="1" applyAlignment="1">
      <alignment horizontal="right" vertical="center"/>
    </xf>
    <xf numFmtId="2" fontId="93" fillId="35" borderId="0" xfId="7" applyNumberFormat="1" applyFont="1" applyFill="1" applyAlignment="1">
      <alignment horizontal="left" vertical="center"/>
    </xf>
    <xf numFmtId="171" fontId="10" fillId="35" borderId="0" xfId="7" applyFont="1" applyFill="1" applyAlignment="1">
      <alignment horizontal="right" vertical="center"/>
    </xf>
    <xf numFmtId="1" fontId="87" fillId="35" borderId="0" xfId="7" applyNumberFormat="1" applyFont="1" applyFill="1" applyAlignment="1">
      <alignment vertical="center"/>
    </xf>
    <xf numFmtId="2" fontId="92" fillId="35" borderId="0" xfId="7" applyNumberFormat="1" applyFont="1" applyFill="1" applyAlignment="1">
      <alignment horizontal="left"/>
    </xf>
    <xf numFmtId="171" fontId="87" fillId="35" borderId="0" xfId="7" applyFont="1" applyFill="1" applyAlignment="1">
      <alignment horizontal="left"/>
    </xf>
    <xf numFmtId="171" fontId="87" fillId="35" borderId="0" xfId="7" applyFont="1" applyFill="1" applyAlignment="1">
      <alignment horizontal="center"/>
    </xf>
    <xf numFmtId="171" fontId="87" fillId="35" borderId="0" xfId="7" applyFont="1" applyFill="1" applyAlignment="1">
      <alignment horizontal="right"/>
    </xf>
    <xf numFmtId="171" fontId="98" fillId="0" borderId="0" xfId="15" applyFont="1"/>
    <xf numFmtId="0" fontId="87" fillId="35" borderId="0" xfId="7" applyNumberFormat="1" applyFont="1" applyFill="1" applyAlignment="1">
      <alignment horizontal="left" vertical="center"/>
    </xf>
    <xf numFmtId="2" fontId="87" fillId="35" borderId="0" xfId="7" applyNumberFormat="1" applyFont="1" applyFill="1" applyAlignment="1">
      <alignment horizontal="left"/>
    </xf>
    <xf numFmtId="171" fontId="87" fillId="35" borderId="0" xfId="7" applyFont="1" applyFill="1" applyAlignment="1">
      <alignment horizontal="center" vertical="center"/>
    </xf>
    <xf numFmtId="2" fontId="87" fillId="35" borderId="0" xfId="7" applyNumberFormat="1" applyFont="1" applyFill="1" applyAlignment="1">
      <alignment vertical="center"/>
    </xf>
    <xf numFmtId="0" fontId="99" fillId="35" borderId="0" xfId="7" applyNumberFormat="1" applyFont="1" applyFill="1" applyAlignment="1">
      <alignment vertical="center"/>
    </xf>
    <xf numFmtId="2" fontId="85" fillId="35" borderId="0" xfId="7" applyNumberFormat="1" applyFont="1" applyFill="1" applyAlignment="1">
      <alignment horizontal="left" vertical="center"/>
    </xf>
    <xf numFmtId="1" fontId="81" fillId="35" borderId="0" xfId="7" applyNumberFormat="1" applyFont="1" applyFill="1" applyAlignment="1">
      <alignment horizontal="right" vertical="center"/>
    </xf>
    <xf numFmtId="0" fontId="80" fillId="35" borderId="0" xfId="7" applyNumberFormat="1" applyFont="1" applyFill="1" applyAlignment="1">
      <alignment vertical="center"/>
    </xf>
    <xf numFmtId="0" fontId="87" fillId="35" borderId="12" xfId="7" applyNumberFormat="1" applyFont="1" applyFill="1" applyBorder="1" applyAlignment="1">
      <alignment horizontal="left" vertical="center"/>
    </xf>
    <xf numFmtId="2" fontId="87" fillId="35" borderId="12" xfId="7" applyNumberFormat="1" applyFont="1" applyFill="1" applyBorder="1" applyAlignment="1">
      <alignment vertical="center"/>
    </xf>
    <xf numFmtId="171" fontId="10" fillId="35" borderId="12" xfId="7" applyFont="1" applyFill="1" applyBorder="1"/>
    <xf numFmtId="0" fontId="88" fillId="35" borderId="0" xfId="7" applyNumberFormat="1" applyFont="1" applyFill="1" applyAlignment="1">
      <alignment horizontal="left" vertical="center"/>
    </xf>
    <xf numFmtId="2" fontId="88" fillId="35" borderId="0" xfId="7" applyNumberFormat="1" applyFont="1" applyFill="1" applyAlignment="1">
      <alignment vertical="center"/>
    </xf>
    <xf numFmtId="171" fontId="88" fillId="35" borderId="4" xfId="7" applyFont="1" applyFill="1" applyBorder="1" applyAlignment="1">
      <alignment vertical="center"/>
    </xf>
    <xf numFmtId="1" fontId="87" fillId="35" borderId="0" xfId="7" applyNumberFormat="1" applyFont="1" applyFill="1" applyAlignment="1">
      <alignment horizontal="right" vertical="center"/>
    </xf>
    <xf numFmtId="2" fontId="82" fillId="35" borderId="0" xfId="7" applyNumberFormat="1" applyFont="1" applyFill="1" applyAlignment="1">
      <alignment horizontal="centerContinuous" vertical="center"/>
    </xf>
    <xf numFmtId="171" fontId="82" fillId="35" borderId="0" xfId="7" quotePrefix="1" applyFont="1" applyFill="1" applyAlignment="1">
      <alignment horizontal="centerContinuous" vertical="center"/>
    </xf>
    <xf numFmtId="171" fontId="12" fillId="35" borderId="0" xfId="7" applyFill="1"/>
    <xf numFmtId="0" fontId="87" fillId="35" borderId="0" xfId="7" applyNumberFormat="1" applyFont="1" applyFill="1" applyAlignment="1">
      <alignment horizontal="right" vertical="center"/>
    </xf>
    <xf numFmtId="0" fontId="87" fillId="35" borderId="0" xfId="16" applyNumberFormat="1" applyFont="1" applyFill="1" applyAlignment="1">
      <alignment horizontal="left" vertical="center"/>
    </xf>
    <xf numFmtId="182" fontId="87" fillId="35" borderId="0" xfId="7" applyNumberFormat="1" applyFont="1" applyFill="1" applyAlignment="1">
      <alignment horizontal="right" vertical="center"/>
    </xf>
    <xf numFmtId="171" fontId="87" fillId="35" borderId="4" xfId="7" applyFont="1" applyFill="1" applyBorder="1" applyAlignment="1">
      <alignment vertical="center"/>
    </xf>
    <xf numFmtId="0" fontId="90" fillId="35" borderId="0" xfId="7" applyNumberFormat="1" applyFont="1" applyFill="1" applyAlignment="1">
      <alignment horizontal="left" vertical="center"/>
    </xf>
    <xf numFmtId="0" fontId="96" fillId="35" borderId="0" xfId="7" quotePrefix="1" applyNumberFormat="1" applyFont="1" applyFill="1" applyAlignment="1">
      <alignment horizontal="left" vertical="center"/>
    </xf>
    <xf numFmtId="181" fontId="82" fillId="35" borderId="0" xfId="7" applyNumberFormat="1" applyFont="1" applyFill="1" applyAlignment="1">
      <alignment vertical="center"/>
    </xf>
    <xf numFmtId="0" fontId="87" fillId="35" borderId="0" xfId="7" quotePrefix="1" applyNumberFormat="1" applyFont="1" applyFill="1" applyAlignment="1">
      <alignment horizontal="left" vertical="center"/>
    </xf>
    <xf numFmtId="181" fontId="87" fillId="35" borderId="0" xfId="7" applyNumberFormat="1" applyFont="1" applyFill="1" applyAlignment="1">
      <alignment horizontal="left" vertical="center"/>
    </xf>
    <xf numFmtId="181" fontId="87" fillId="35" borderId="0" xfId="7" applyNumberFormat="1" applyFont="1" applyFill="1" applyAlignment="1">
      <alignment vertical="center"/>
    </xf>
    <xf numFmtId="0" fontId="88" fillId="35" borderId="0" xfId="7" applyNumberFormat="1" applyFont="1" applyFill="1" applyAlignment="1">
      <alignment vertical="center"/>
    </xf>
    <xf numFmtId="2" fontId="88" fillId="35" borderId="0" xfId="7" applyNumberFormat="1" applyFont="1" applyFill="1" applyAlignment="1">
      <alignment horizontal="left" vertical="center"/>
    </xf>
    <xf numFmtId="181" fontId="88" fillId="35" borderId="0" xfId="7" applyNumberFormat="1" applyFont="1" applyFill="1" applyAlignment="1">
      <alignment vertical="center"/>
    </xf>
    <xf numFmtId="181" fontId="88" fillId="35" borderId="0" xfId="7" applyNumberFormat="1" applyFont="1" applyFill="1" applyAlignment="1">
      <alignment horizontal="left" vertical="center"/>
    </xf>
    <xf numFmtId="183" fontId="87" fillId="35" borderId="0" xfId="7" applyNumberFormat="1" applyFont="1" applyFill="1" applyAlignment="1">
      <alignment vertical="center"/>
    </xf>
    <xf numFmtId="183" fontId="87" fillId="35" borderId="0" xfId="7" applyNumberFormat="1" applyFont="1" applyFill="1" applyAlignment="1">
      <alignment horizontal="right" vertical="center"/>
    </xf>
    <xf numFmtId="1" fontId="88" fillId="35" borderId="0" xfId="7" applyNumberFormat="1" applyFont="1" applyFill="1" applyAlignment="1">
      <alignment vertical="center"/>
    </xf>
    <xf numFmtId="1" fontId="88" fillId="35" borderId="0" xfId="7" applyNumberFormat="1" applyFont="1" applyFill="1" applyAlignment="1">
      <alignment horizontal="left" vertical="center"/>
    </xf>
    <xf numFmtId="184" fontId="87" fillId="35" borderId="0" xfId="7" applyNumberFormat="1" applyFont="1" applyFill="1" applyAlignment="1">
      <alignment vertical="center"/>
    </xf>
    <xf numFmtId="185" fontId="87" fillId="35" borderId="0" xfId="7" applyNumberFormat="1" applyFont="1" applyFill="1" applyAlignment="1">
      <alignment vertical="center"/>
    </xf>
    <xf numFmtId="181" fontId="88" fillId="35" borderId="12" xfId="7" applyNumberFormat="1" applyFont="1" applyFill="1" applyBorder="1" applyAlignment="1">
      <alignment vertical="center"/>
    </xf>
    <xf numFmtId="0" fontId="88" fillId="35" borderId="12" xfId="7" applyNumberFormat="1" applyFont="1" applyFill="1" applyBorder="1" applyAlignment="1">
      <alignment horizontal="left" vertical="center"/>
    </xf>
    <xf numFmtId="181" fontId="88" fillId="35" borderId="12" xfId="7" applyNumberFormat="1" applyFont="1" applyFill="1" applyBorder="1" applyAlignment="1">
      <alignment horizontal="left" vertical="center"/>
    </xf>
    <xf numFmtId="2" fontId="87" fillId="35" borderId="0" xfId="7" applyNumberFormat="1" applyFont="1" applyFill="1" applyAlignment="1">
      <alignment horizontal="left" vertical="center"/>
    </xf>
    <xf numFmtId="0" fontId="10" fillId="35" borderId="12" xfId="7" applyNumberFormat="1" applyFont="1" applyFill="1" applyBorder="1" applyAlignment="1">
      <alignment horizontal="left" vertical="center"/>
    </xf>
    <xf numFmtId="1" fontId="93" fillId="35" borderId="12" xfId="7" applyNumberFormat="1" applyFont="1" applyFill="1" applyBorder="1" applyAlignment="1">
      <alignment horizontal="left" vertical="center"/>
    </xf>
    <xf numFmtId="1" fontId="10" fillId="35" borderId="12" xfId="7" applyNumberFormat="1" applyFont="1" applyFill="1" applyBorder="1" applyAlignment="1">
      <alignment vertical="center"/>
    </xf>
    <xf numFmtId="181" fontId="94" fillId="35" borderId="12" xfId="7" applyNumberFormat="1" applyFont="1" applyFill="1" applyBorder="1" applyAlignment="1">
      <alignment vertical="center"/>
    </xf>
    <xf numFmtId="181" fontId="87" fillId="35" borderId="12" xfId="7" applyNumberFormat="1" applyFont="1" applyFill="1" applyBorder="1" applyAlignment="1">
      <alignment horizontal="left" vertical="center"/>
    </xf>
    <xf numFmtId="181" fontId="87" fillId="35" borderId="12" xfId="7" applyNumberFormat="1" applyFont="1" applyFill="1" applyBorder="1" applyAlignment="1">
      <alignment vertical="center"/>
    </xf>
    <xf numFmtId="0" fontId="96" fillId="10" borderId="0" xfId="7" quotePrefix="1" applyNumberFormat="1" applyFont="1" applyFill="1" applyAlignment="1">
      <alignment horizontal="left" vertical="center"/>
    </xf>
    <xf numFmtId="181" fontId="96" fillId="10" borderId="0" xfId="7" applyNumberFormat="1" applyFont="1" applyFill="1" applyAlignment="1">
      <alignment horizontal="left" vertical="center"/>
    </xf>
    <xf numFmtId="181" fontId="96" fillId="10" borderId="0" xfId="7" applyNumberFormat="1" applyFont="1" applyFill="1" applyAlignment="1">
      <alignment vertical="center"/>
    </xf>
    <xf numFmtId="181" fontId="82" fillId="10" borderId="0" xfId="7" applyNumberFormat="1" applyFont="1" applyFill="1" applyAlignment="1">
      <alignment vertical="center"/>
    </xf>
    <xf numFmtId="171" fontId="93" fillId="35" borderId="0" xfId="7" applyFont="1" applyFill="1" applyAlignment="1">
      <alignment horizontal="left" vertical="center"/>
    </xf>
    <xf numFmtId="0" fontId="87" fillId="35" borderId="0" xfId="7" quotePrefix="1" applyNumberFormat="1" applyFont="1" applyFill="1" applyAlignment="1">
      <alignment horizontal="left"/>
    </xf>
    <xf numFmtId="0" fontId="87" fillId="7" borderId="0" xfId="7" quotePrefix="1" applyNumberFormat="1" applyFont="1" applyFill="1" applyAlignment="1">
      <alignment horizontal="left" vertical="center"/>
    </xf>
    <xf numFmtId="1" fontId="87" fillId="7" borderId="0" xfId="7" applyNumberFormat="1" applyFont="1" applyFill="1" applyAlignment="1">
      <alignment horizontal="left" vertical="center"/>
    </xf>
    <xf numFmtId="181" fontId="87" fillId="7" borderId="0" xfId="7" applyNumberFormat="1" applyFont="1" applyFill="1" applyAlignment="1">
      <alignment vertical="center"/>
    </xf>
    <xf numFmtId="0" fontId="87" fillId="7" borderId="0" xfId="7" applyNumberFormat="1" applyFont="1" applyFill="1" applyAlignment="1">
      <alignment horizontal="left" vertical="center"/>
    </xf>
    <xf numFmtId="2" fontId="87" fillId="7" borderId="0" xfId="7" applyNumberFormat="1" applyFont="1" applyFill="1" applyAlignment="1">
      <alignment horizontal="left" vertical="center"/>
    </xf>
    <xf numFmtId="181" fontId="87" fillId="7" borderId="0" xfId="7" applyNumberFormat="1" applyFont="1" applyFill="1" applyAlignment="1">
      <alignment horizontal="left" vertical="center"/>
    </xf>
    <xf numFmtId="171" fontId="87" fillId="7" borderId="0" xfId="7" applyFont="1" applyFill="1" applyAlignment="1">
      <alignment vertical="center"/>
    </xf>
    <xf numFmtId="2" fontId="87" fillId="7" borderId="0" xfId="7" applyNumberFormat="1" applyFont="1" applyFill="1" applyAlignment="1">
      <alignment vertical="center"/>
    </xf>
    <xf numFmtId="171" fontId="87" fillId="28" borderId="12" xfId="7" applyFont="1" applyFill="1" applyBorder="1" applyAlignment="1">
      <alignment vertical="center"/>
    </xf>
    <xf numFmtId="9" fontId="102" fillId="28" borderId="12" xfId="11" applyFont="1" applyFill="1" applyBorder="1" applyAlignment="1">
      <alignment vertical="center"/>
    </xf>
    <xf numFmtId="0" fontId="87" fillId="35" borderId="0" xfId="7" applyNumberFormat="1" applyFont="1" applyFill="1" applyAlignment="1">
      <alignment horizontal="left"/>
    </xf>
    <xf numFmtId="1" fontId="103" fillId="35" borderId="0" xfId="7" applyNumberFormat="1" applyFont="1" applyFill="1" applyAlignment="1">
      <alignment vertical="center"/>
    </xf>
    <xf numFmtId="2" fontId="87" fillId="35" borderId="12" xfId="7" applyNumberFormat="1" applyFont="1" applyFill="1" applyBorder="1" applyAlignment="1">
      <alignment horizontal="left" vertical="center"/>
    </xf>
    <xf numFmtId="1" fontId="88" fillId="35" borderId="0" xfId="7" applyNumberFormat="1" applyFont="1" applyFill="1" applyAlignment="1">
      <alignment horizontal="right" vertical="center"/>
    </xf>
    <xf numFmtId="181" fontId="88" fillId="28" borderId="12" xfId="7" applyNumberFormat="1" applyFont="1" applyFill="1" applyBorder="1" applyAlignment="1">
      <alignment vertical="center"/>
    </xf>
    <xf numFmtId="0" fontId="88" fillId="28" borderId="12" xfId="7" applyNumberFormat="1" applyFont="1" applyFill="1" applyBorder="1" applyAlignment="1">
      <alignment horizontal="left" vertical="center"/>
    </xf>
    <xf numFmtId="181" fontId="88" fillId="28" borderId="12" xfId="7" applyNumberFormat="1" applyFont="1" applyFill="1" applyBorder="1" applyAlignment="1">
      <alignment horizontal="left" vertical="center"/>
    </xf>
    <xf numFmtId="0" fontId="10" fillId="35" borderId="0" xfId="7" applyNumberFormat="1" applyFont="1" applyFill="1" applyAlignment="1">
      <alignment horizontal="left" vertical="center"/>
    </xf>
    <xf numFmtId="171" fontId="87" fillId="35" borderId="12" xfId="7" applyFont="1" applyFill="1" applyBorder="1" applyAlignment="1">
      <alignment horizontal="right" vertical="center"/>
    </xf>
    <xf numFmtId="0" fontId="87" fillId="35" borderId="4" xfId="7" applyNumberFormat="1" applyFont="1" applyFill="1" applyBorder="1" applyAlignment="1">
      <alignment horizontal="left" vertical="center"/>
    </xf>
    <xf numFmtId="2" fontId="87" fillId="35" borderId="4" xfId="7" applyNumberFormat="1" applyFont="1" applyFill="1" applyBorder="1" applyAlignment="1">
      <alignment horizontal="left" vertical="center"/>
    </xf>
    <xf numFmtId="2" fontId="87" fillId="35" borderId="4" xfId="7" applyNumberFormat="1" applyFont="1" applyFill="1" applyBorder="1" applyAlignment="1">
      <alignment vertical="center"/>
    </xf>
    <xf numFmtId="0" fontId="92" fillId="35" borderId="0" xfId="7" applyNumberFormat="1" applyFont="1" applyFill="1" applyAlignment="1">
      <alignment horizontal="left" vertical="center"/>
    </xf>
    <xf numFmtId="1" fontId="96" fillId="35" borderId="0" xfId="7" applyNumberFormat="1" applyFont="1" applyFill="1" applyAlignment="1">
      <alignment horizontal="left" vertical="center"/>
    </xf>
    <xf numFmtId="1" fontId="96" fillId="35" borderId="0" xfId="7" applyNumberFormat="1" applyFont="1" applyFill="1" applyAlignment="1">
      <alignment vertical="center"/>
    </xf>
    <xf numFmtId="0" fontId="87" fillId="35" borderId="0" xfId="7" applyNumberFormat="1" applyFont="1" applyFill="1"/>
    <xf numFmtId="171" fontId="88" fillId="35" borderId="0" xfId="7" applyFont="1" applyFill="1"/>
    <xf numFmtId="0" fontId="88" fillId="35" borderId="0" xfId="7" applyNumberFormat="1" applyFont="1" applyFill="1" applyAlignment="1">
      <alignment horizontal="left"/>
    </xf>
    <xf numFmtId="2" fontId="88" fillId="35" borderId="0" xfId="7" applyNumberFormat="1" applyFont="1" applyFill="1" applyAlignment="1">
      <alignment horizontal="left"/>
    </xf>
    <xf numFmtId="171" fontId="87" fillId="35" borderId="4" xfId="7" applyFont="1" applyFill="1" applyBorder="1" applyAlignment="1">
      <alignment horizontal="left" vertical="center"/>
    </xf>
    <xf numFmtId="181" fontId="87" fillId="35" borderId="4" xfId="7" applyNumberFormat="1" applyFont="1" applyFill="1" applyBorder="1" applyAlignment="1">
      <alignment vertical="center"/>
    </xf>
    <xf numFmtId="183" fontId="82" fillId="35" borderId="0" xfId="7" applyNumberFormat="1" applyFont="1" applyFill="1" applyAlignment="1">
      <alignment vertical="center"/>
    </xf>
    <xf numFmtId="2" fontId="82" fillId="35" borderId="0" xfId="7" applyNumberFormat="1" applyFont="1" applyFill="1" applyAlignment="1">
      <alignment vertical="center"/>
    </xf>
    <xf numFmtId="171" fontId="96" fillId="10" borderId="0" xfId="7" applyFont="1" applyFill="1" applyAlignment="1">
      <alignment horizontal="left" vertical="center"/>
    </xf>
    <xf numFmtId="171" fontId="96" fillId="10" borderId="0" xfId="7" applyFont="1" applyFill="1" applyAlignment="1">
      <alignment vertical="center"/>
    </xf>
    <xf numFmtId="171" fontId="88" fillId="7" borderId="0" xfId="7" applyFont="1" applyFill="1" applyAlignment="1">
      <alignment vertical="center"/>
    </xf>
    <xf numFmtId="0" fontId="88" fillId="7" borderId="0" xfId="7" applyNumberFormat="1" applyFont="1" applyFill="1" applyAlignment="1">
      <alignment horizontal="left" vertical="center"/>
    </xf>
    <xf numFmtId="171" fontId="88" fillId="7" borderId="0" xfId="7" applyFont="1" applyFill="1" applyAlignment="1">
      <alignment horizontal="left" vertical="center"/>
    </xf>
    <xf numFmtId="171" fontId="87" fillId="28" borderId="12" xfId="7" applyFont="1" applyFill="1" applyBorder="1" applyAlignment="1">
      <alignment horizontal="left" vertical="center"/>
    </xf>
    <xf numFmtId="9" fontId="102" fillId="28" borderId="0" xfId="11" applyFont="1" applyFill="1" applyAlignment="1">
      <alignment vertical="center"/>
    </xf>
    <xf numFmtId="1" fontId="96" fillId="35" borderId="0" xfId="7" quotePrefix="1" applyNumberFormat="1" applyFont="1" applyFill="1" applyAlignment="1">
      <alignment horizontal="left" vertical="center"/>
    </xf>
    <xf numFmtId="167" fontId="87" fillId="35" borderId="0" xfId="7" quotePrefix="1" applyNumberFormat="1" applyFont="1" applyFill="1" applyAlignment="1">
      <alignment horizontal="left" vertical="center"/>
    </xf>
    <xf numFmtId="171" fontId="87" fillId="0" borderId="0" xfId="7" applyFont="1"/>
    <xf numFmtId="0" fontId="87" fillId="11" borderId="12" xfId="7" applyNumberFormat="1" applyFont="1" applyFill="1" applyBorder="1" applyAlignment="1">
      <alignment horizontal="left" vertical="center"/>
    </xf>
    <xf numFmtId="171" fontId="87" fillId="11" borderId="12" xfId="7" applyFont="1" applyFill="1" applyBorder="1" applyAlignment="1">
      <alignment vertical="center"/>
    </xf>
    <xf numFmtId="9" fontId="87" fillId="11" borderId="12" xfId="7" applyNumberFormat="1" applyFont="1" applyFill="1" applyBorder="1" applyAlignment="1">
      <alignment vertical="center"/>
    </xf>
    <xf numFmtId="0" fontId="88" fillId="11" borderId="12" xfId="7" applyNumberFormat="1" applyFont="1" applyFill="1" applyBorder="1" applyAlignment="1">
      <alignment horizontal="left" vertical="center"/>
    </xf>
    <xf numFmtId="181" fontId="88" fillId="11" borderId="12" xfId="7" applyNumberFormat="1" applyFont="1" applyFill="1" applyBorder="1" applyAlignment="1">
      <alignment horizontal="left" vertical="center"/>
    </xf>
    <xf numFmtId="181" fontId="88" fillId="11" borderId="12" xfId="7" applyNumberFormat="1" applyFont="1" applyFill="1" applyBorder="1" applyAlignment="1">
      <alignment vertical="center"/>
    </xf>
    <xf numFmtId="171" fontId="87" fillId="11" borderId="12" xfId="7" applyFont="1" applyFill="1" applyBorder="1" applyAlignment="1">
      <alignment horizontal="left" vertical="center"/>
    </xf>
    <xf numFmtId="9" fontId="87" fillId="11" borderId="0" xfId="7" applyNumberFormat="1" applyFont="1" applyFill="1" applyAlignment="1">
      <alignment vertical="center"/>
    </xf>
    <xf numFmtId="0" fontId="5" fillId="17" borderId="0" xfId="0" applyFont="1" applyFill="1" applyProtection="1">
      <protection hidden="1"/>
    </xf>
    <xf numFmtId="0" fontId="1" fillId="28" borderId="0" xfId="0" applyFont="1" applyFill="1" applyAlignment="1" applyProtection="1">
      <alignment horizontal="left"/>
      <protection hidden="1"/>
    </xf>
    <xf numFmtId="0" fontId="1" fillId="28" borderId="0" xfId="0" applyFont="1" applyFill="1" applyProtection="1">
      <protection hidden="1"/>
    </xf>
    <xf numFmtId="0" fontId="2" fillId="17" borderId="0" xfId="0" applyFont="1" applyFill="1" applyProtection="1">
      <protection hidden="1"/>
    </xf>
    <xf numFmtId="172" fontId="44" fillId="6" borderId="1" xfId="4" applyNumberFormat="1" applyFont="1" applyFill="1" applyBorder="1" applyAlignment="1" applyProtection="1">
      <alignment horizontal="center"/>
      <protection hidden="1"/>
    </xf>
    <xf numFmtId="172" fontId="0" fillId="0" borderId="0" xfId="4" applyNumberFormat="1" applyFont="1" applyFill="1" applyBorder="1" applyAlignment="1" applyProtection="1">
      <alignment horizontal="center"/>
      <protection hidden="1"/>
    </xf>
    <xf numFmtId="44" fontId="0" fillId="2" borderId="1" xfId="4" applyFont="1" applyFill="1" applyBorder="1" applyAlignment="1" applyProtection="1">
      <alignment horizontal="center"/>
      <protection hidden="1"/>
    </xf>
    <xf numFmtId="44" fontId="0" fillId="2" borderId="1" xfId="5" applyFont="1" applyFill="1" applyBorder="1" applyProtection="1">
      <protection hidden="1"/>
    </xf>
    <xf numFmtId="0" fontId="5" fillId="29" borderId="7" xfId="0" applyFont="1" applyFill="1" applyBorder="1" applyProtection="1">
      <protection hidden="1"/>
    </xf>
    <xf numFmtId="0" fontId="5" fillId="29" borderId="4" xfId="0" applyFont="1" applyFill="1" applyBorder="1" applyAlignment="1" applyProtection="1">
      <alignment horizontal="left"/>
      <protection hidden="1"/>
    </xf>
    <xf numFmtId="0" fontId="1" fillId="29" borderId="4" xfId="0" applyFont="1" applyFill="1" applyBorder="1" applyProtection="1">
      <protection hidden="1"/>
    </xf>
    <xf numFmtId="0" fontId="5" fillId="29" borderId="4" xfId="0" applyFont="1" applyFill="1" applyBorder="1" applyProtection="1">
      <protection hidden="1"/>
    </xf>
    <xf numFmtId="0" fontId="5" fillId="29" borderId="8" xfId="0" applyFont="1" applyFill="1" applyBorder="1" applyProtection="1">
      <protection hidden="1"/>
    </xf>
    <xf numFmtId="0" fontId="1" fillId="29" borderId="9" xfId="0" applyFont="1" applyFill="1" applyBorder="1" applyProtection="1">
      <protection hidden="1"/>
    </xf>
    <xf numFmtId="9" fontId="1" fillId="29" borderId="0" xfId="11" applyFont="1" applyFill="1" applyBorder="1" applyAlignment="1" applyProtection="1">
      <alignment horizontal="center"/>
      <protection hidden="1"/>
    </xf>
    <xf numFmtId="0" fontId="1" fillId="29" borderId="0" xfId="0" applyFont="1" applyFill="1" applyProtection="1">
      <protection hidden="1"/>
    </xf>
    <xf numFmtId="9" fontId="1" fillId="29" borderId="3" xfId="11" applyFont="1" applyFill="1" applyBorder="1" applyAlignment="1" applyProtection="1">
      <alignment horizontal="center"/>
      <protection hidden="1"/>
    </xf>
    <xf numFmtId="0" fontId="24" fillId="29" borderId="0" xfId="0" applyFont="1" applyFill="1" applyProtection="1">
      <protection hidden="1"/>
    </xf>
    <xf numFmtId="172" fontId="4" fillId="2" borderId="1" xfId="5" applyNumberFormat="1" applyFont="1" applyFill="1" applyBorder="1" applyAlignment="1" applyProtection="1">
      <alignment horizontal="center"/>
      <protection locked="0"/>
    </xf>
    <xf numFmtId="0" fontId="0" fillId="6" borderId="1" xfId="0" applyFill="1" applyBorder="1" applyAlignment="1" applyProtection="1">
      <alignment horizontal="right"/>
      <protection locked="0"/>
    </xf>
    <xf numFmtId="44" fontId="0" fillId="2" borderId="1" xfId="5" applyFont="1" applyFill="1" applyBorder="1" applyProtection="1">
      <protection locked="0"/>
    </xf>
    <xf numFmtId="0" fontId="4" fillId="6" borderId="1" xfId="9" applyFill="1" applyBorder="1" applyProtection="1">
      <protection locked="0"/>
    </xf>
    <xf numFmtId="164" fontId="4" fillId="2" borderId="6" xfId="5" applyNumberFormat="1" applyFont="1" applyFill="1" applyBorder="1" applyAlignment="1" applyProtection="1">
      <alignment horizontal="center"/>
      <protection locked="0"/>
    </xf>
    <xf numFmtId="164" fontId="4" fillId="2" borderId="1" xfId="5" applyNumberFormat="1" applyFont="1" applyFill="1" applyBorder="1" applyAlignment="1" applyProtection="1">
      <alignment horizontal="center"/>
      <protection locked="0"/>
    </xf>
    <xf numFmtId="44" fontId="63" fillId="6" borderId="1" xfId="4" applyFont="1" applyFill="1" applyBorder="1" applyProtection="1">
      <protection locked="0"/>
    </xf>
    <xf numFmtId="0" fontId="63" fillId="6" borderId="1" xfId="0" applyFont="1" applyFill="1" applyBorder="1" applyAlignment="1" applyProtection="1">
      <alignment horizontal="center"/>
      <protection locked="0"/>
    </xf>
    <xf numFmtId="0" fontId="4" fillId="7" borderId="1" xfId="0" applyFont="1" applyFill="1" applyBorder="1" applyProtection="1">
      <protection hidden="1"/>
    </xf>
    <xf numFmtId="0" fontId="0" fillId="7" borderId="1" xfId="0" applyFill="1" applyBorder="1" applyProtection="1">
      <protection hidden="1"/>
    </xf>
    <xf numFmtId="10" fontId="45" fillId="7" borderId="1" xfId="11" applyNumberFormat="1" applyFont="1" applyFill="1" applyBorder="1" applyProtection="1">
      <protection hidden="1"/>
    </xf>
    <xf numFmtId="0" fontId="4" fillId="7" borderId="21" xfId="0" applyFont="1" applyFill="1" applyBorder="1" applyProtection="1">
      <protection hidden="1"/>
    </xf>
    <xf numFmtId="14" fontId="0" fillId="7" borderId="2" xfId="0" applyNumberFormat="1" applyFill="1" applyBorder="1" applyProtection="1">
      <protection hidden="1"/>
    </xf>
    <xf numFmtId="10" fontId="2" fillId="26" borderId="1" xfId="0" applyNumberFormat="1" applyFont="1" applyFill="1" applyBorder="1" applyAlignment="1" applyProtection="1">
      <alignment horizontal="center"/>
      <protection hidden="1"/>
    </xf>
    <xf numFmtId="0" fontId="1" fillId="34" borderId="0" xfId="0" applyFont="1" applyFill="1" applyProtection="1">
      <protection hidden="1"/>
    </xf>
    <xf numFmtId="164" fontId="30" fillId="4" borderId="0" xfId="4" applyNumberFormat="1" applyFont="1" applyFill="1" applyAlignment="1" applyProtection="1">
      <alignment horizontal="right"/>
      <protection hidden="1"/>
    </xf>
    <xf numFmtId="0" fontId="2" fillId="10" borderId="1" xfId="0" applyFont="1" applyFill="1" applyBorder="1" applyAlignment="1" applyProtection="1">
      <alignment horizontal="center"/>
      <protection hidden="1"/>
    </xf>
    <xf numFmtId="10" fontId="0" fillId="11" borderId="1" xfId="11" applyNumberFormat="1" applyFont="1" applyFill="1" applyBorder="1" applyAlignment="1" applyProtection="1">
      <alignment horizontal="center"/>
      <protection hidden="1"/>
    </xf>
    <xf numFmtId="0" fontId="0" fillId="11" borderId="25" xfId="0" applyFill="1" applyBorder="1" applyProtection="1">
      <protection hidden="1"/>
    </xf>
    <xf numFmtId="0" fontId="0" fillId="11" borderId="2" xfId="0" applyFill="1" applyBorder="1" applyProtection="1">
      <protection hidden="1"/>
    </xf>
    <xf numFmtId="0" fontId="2" fillId="27" borderId="1"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4" fillId="10" borderId="0" xfId="0" applyFont="1" applyFill="1" applyAlignment="1" applyProtection="1">
      <alignment horizontal="center" vertical="center" wrapText="1"/>
      <protection hidden="1"/>
    </xf>
    <xf numFmtId="0" fontId="24" fillId="10" borderId="0" xfId="0" applyFont="1" applyFill="1" applyAlignment="1" applyProtection="1">
      <alignment horizontal="center" vertical="center"/>
      <protection hidden="1"/>
    </xf>
    <xf numFmtId="0" fontId="24" fillId="10" borderId="0" xfId="0" applyFont="1" applyFill="1" applyAlignment="1" applyProtection="1">
      <alignment horizontal="center"/>
      <protection hidden="1"/>
    </xf>
    <xf numFmtId="0" fontId="2" fillId="10" borderId="1" xfId="0" applyFont="1" applyFill="1" applyBorder="1" applyAlignment="1" applyProtection="1">
      <alignment horizontal="center" vertical="center" wrapText="1"/>
      <protection hidden="1"/>
    </xf>
    <xf numFmtId="0" fontId="0" fillId="9" borderId="1" xfId="0" applyFill="1" applyBorder="1" applyAlignment="1" applyProtection="1">
      <alignment horizontal="center"/>
      <protection hidden="1"/>
    </xf>
    <xf numFmtId="44" fontId="0" fillId="2" borderId="1" xfId="4" applyFont="1" applyFill="1" applyBorder="1" applyProtection="1"/>
    <xf numFmtId="172" fontId="0" fillId="2" borderId="1" xfId="5" applyNumberFormat="1" applyFont="1" applyFill="1" applyBorder="1" applyAlignment="1" applyProtection="1">
      <alignment horizontal="center"/>
      <protection locked="0"/>
    </xf>
    <xf numFmtId="0" fontId="1" fillId="0" borderId="0" xfId="14" applyProtection="1">
      <protection hidden="1"/>
    </xf>
    <xf numFmtId="0" fontId="24" fillId="31" borderId="0" xfId="14" applyFont="1" applyFill="1" applyAlignment="1" applyProtection="1">
      <alignment horizontal="center"/>
      <protection hidden="1"/>
    </xf>
    <xf numFmtId="0" fontId="24" fillId="32" borderId="0" xfId="14" applyFont="1" applyFill="1" applyAlignment="1" applyProtection="1">
      <alignment horizontal="center"/>
      <protection hidden="1"/>
    </xf>
    <xf numFmtId="0" fontId="24" fillId="29" borderId="0" xfId="14" applyFont="1" applyFill="1" applyAlignment="1" applyProtection="1">
      <alignment horizontal="center"/>
      <protection hidden="1"/>
    </xf>
    <xf numFmtId="0" fontId="24" fillId="33" borderId="0" xfId="14" applyFont="1" applyFill="1" applyAlignment="1" applyProtection="1">
      <alignment horizontal="center"/>
      <protection hidden="1"/>
    </xf>
    <xf numFmtId="0" fontId="24" fillId="0" borderId="0" xfId="14" applyFont="1" applyAlignment="1" applyProtection="1">
      <alignment horizontal="center"/>
      <protection hidden="1"/>
    </xf>
    <xf numFmtId="0" fontId="24" fillId="0" borderId="0" xfId="14" applyFont="1" applyAlignment="1" applyProtection="1">
      <alignment vertical="center"/>
      <protection hidden="1"/>
    </xf>
    <xf numFmtId="0" fontId="24" fillId="0" borderId="0" xfId="14" applyFont="1" applyProtection="1">
      <protection hidden="1"/>
    </xf>
    <xf numFmtId="0" fontId="24" fillId="29" borderId="0" xfId="14" applyFont="1" applyFill="1" applyAlignment="1" applyProtection="1">
      <alignment vertical="center"/>
      <protection hidden="1"/>
    </xf>
    <xf numFmtId="0" fontId="1" fillId="33" borderId="0" xfId="14" applyFill="1" applyAlignment="1" applyProtection="1">
      <alignment horizontal="center"/>
      <protection hidden="1"/>
    </xf>
    <xf numFmtId="0" fontId="24" fillId="6" borderId="13" xfId="14" applyFont="1" applyFill="1" applyBorder="1" applyAlignment="1" applyProtection="1">
      <alignment vertical="center"/>
      <protection hidden="1"/>
    </xf>
    <xf numFmtId="0" fontId="1" fillId="0" borderId="0" xfId="14" applyAlignment="1" applyProtection="1">
      <alignment horizontal="center"/>
      <protection hidden="1"/>
    </xf>
    <xf numFmtId="0" fontId="1" fillId="32" borderId="1" xfId="14" applyFill="1" applyBorder="1" applyAlignment="1" applyProtection="1">
      <alignment horizontal="center" vertical="center" wrapText="1"/>
      <protection hidden="1"/>
    </xf>
    <xf numFmtId="0" fontId="1" fillId="32" borderId="1" xfId="14" applyFill="1" applyBorder="1" applyAlignment="1" applyProtection="1">
      <alignment horizontal="center" vertical="center"/>
      <protection hidden="1"/>
    </xf>
    <xf numFmtId="0" fontId="24" fillId="6" borderId="14" xfId="14" applyFont="1" applyFill="1" applyBorder="1" applyAlignment="1" applyProtection="1">
      <alignment horizontal="center" vertical="center" wrapText="1"/>
      <protection hidden="1"/>
    </xf>
    <xf numFmtId="0" fontId="24" fillId="6" borderId="14" xfId="14" applyFont="1" applyFill="1" applyBorder="1" applyAlignment="1" applyProtection="1">
      <alignment horizontal="center" vertical="center"/>
      <protection hidden="1"/>
    </xf>
    <xf numFmtId="0" fontId="24" fillId="6" borderId="6" xfId="14" applyFont="1" applyFill="1" applyBorder="1" applyAlignment="1" applyProtection="1">
      <alignment horizontal="center" vertical="center"/>
      <protection hidden="1"/>
    </xf>
    <xf numFmtId="0" fontId="1" fillId="11" borderId="1" xfId="14" applyFill="1" applyBorder="1" applyAlignment="1" applyProtection="1">
      <alignment horizontal="center" vertical="center" wrapText="1"/>
      <protection hidden="1"/>
    </xf>
    <xf numFmtId="0" fontId="1" fillId="11" borderId="1" xfId="14" applyFill="1" applyBorder="1" applyAlignment="1" applyProtection="1">
      <alignment horizontal="center" vertical="center"/>
      <protection hidden="1"/>
    </xf>
    <xf numFmtId="0" fontId="1" fillId="6" borderId="0" xfId="14" applyFill="1" applyAlignment="1" applyProtection="1">
      <alignment horizontal="center" vertical="center"/>
      <protection hidden="1"/>
    </xf>
    <xf numFmtId="0" fontId="1" fillId="6" borderId="0" xfId="14" applyFill="1" applyAlignment="1" applyProtection="1">
      <alignment horizontal="center"/>
      <protection hidden="1"/>
    </xf>
    <xf numFmtId="0" fontId="1" fillId="18" borderId="0" xfId="14" applyFill="1" applyAlignment="1" applyProtection="1">
      <alignment horizontal="center"/>
      <protection hidden="1"/>
    </xf>
    <xf numFmtId="0" fontId="1" fillId="3" borderId="0" xfId="14" applyFill="1" applyProtection="1">
      <protection hidden="1"/>
    </xf>
    <xf numFmtId="0" fontId="1" fillId="22" borderId="0" xfId="14" applyFill="1" applyProtection="1">
      <protection hidden="1"/>
    </xf>
    <xf numFmtId="0" fontId="1" fillId="29" borderId="0" xfId="14" applyFill="1" applyAlignment="1" applyProtection="1">
      <alignment horizontal="center"/>
      <protection hidden="1"/>
    </xf>
    <xf numFmtId="0" fontId="1" fillId="7" borderId="1" xfId="14" applyFill="1" applyBorder="1" applyAlignment="1" applyProtection="1">
      <alignment horizontal="center"/>
      <protection hidden="1"/>
    </xf>
    <xf numFmtId="0" fontId="1" fillId="33" borderId="0" xfId="14" applyFill="1" applyProtection="1">
      <protection hidden="1"/>
    </xf>
    <xf numFmtId="0" fontId="1" fillId="18" borderId="0" xfId="14" applyFill="1" applyProtection="1">
      <protection hidden="1"/>
    </xf>
    <xf numFmtId="0" fontId="1" fillId="0" borderId="0" xfId="14" applyAlignment="1" applyProtection="1">
      <alignment horizontal="left"/>
      <protection hidden="1"/>
    </xf>
    <xf numFmtId="44" fontId="1" fillId="31" borderId="0" xfId="14" applyNumberFormat="1" applyFill="1" applyProtection="1">
      <protection hidden="1"/>
    </xf>
    <xf numFmtId="44" fontId="1" fillId="0" borderId="0" xfId="14" applyNumberFormat="1" applyProtection="1">
      <protection hidden="1"/>
    </xf>
    <xf numFmtId="44" fontId="1" fillId="32" borderId="0" xfId="14" applyNumberFormat="1" applyFill="1" applyProtection="1">
      <protection hidden="1"/>
    </xf>
    <xf numFmtId="44" fontId="1" fillId="29" borderId="0" xfId="14" applyNumberFormat="1" applyFill="1" applyProtection="1">
      <protection hidden="1"/>
    </xf>
    <xf numFmtId="44" fontId="1" fillId="33" borderId="0" xfId="14" applyNumberFormat="1" applyFill="1" applyProtection="1">
      <protection hidden="1"/>
    </xf>
    <xf numFmtId="44" fontId="1" fillId="6" borderId="9" xfId="14" applyNumberFormat="1" applyFill="1" applyBorder="1" applyProtection="1">
      <protection hidden="1"/>
    </xf>
    <xf numFmtId="44" fontId="1" fillId="6" borderId="3" xfId="14" applyNumberFormat="1" applyFill="1" applyBorder="1" applyProtection="1">
      <protection hidden="1"/>
    </xf>
    <xf numFmtId="179" fontId="1" fillId="18" borderId="0" xfId="14" applyNumberFormat="1" applyFill="1" applyProtection="1">
      <protection hidden="1"/>
    </xf>
    <xf numFmtId="44" fontId="1" fillId="18" borderId="0" xfId="14" applyNumberFormat="1" applyFill="1" applyProtection="1">
      <protection hidden="1"/>
    </xf>
    <xf numFmtId="179" fontId="1" fillId="32" borderId="0" xfId="14" applyNumberFormat="1" applyFill="1" applyProtection="1">
      <protection hidden="1"/>
    </xf>
    <xf numFmtId="179" fontId="1" fillId="3" borderId="0" xfId="14" applyNumberFormat="1" applyFill="1" applyProtection="1">
      <protection hidden="1"/>
    </xf>
    <xf numFmtId="179" fontId="1" fillId="22" borderId="0" xfId="14" applyNumberFormat="1" applyFill="1" applyProtection="1">
      <protection hidden="1"/>
    </xf>
    <xf numFmtId="179" fontId="1" fillId="11" borderId="0" xfId="14" applyNumberFormat="1" applyFill="1" applyProtection="1">
      <protection hidden="1"/>
    </xf>
    <xf numFmtId="179" fontId="1" fillId="28" borderId="0" xfId="14" applyNumberFormat="1" applyFill="1" applyProtection="1">
      <protection hidden="1"/>
    </xf>
    <xf numFmtId="179" fontId="60" fillId="3" borderId="0" xfId="14" applyNumberFormat="1" applyFont="1" applyFill="1" applyProtection="1">
      <protection hidden="1"/>
    </xf>
    <xf numFmtId="44" fontId="1" fillId="21" borderId="1" xfId="14" applyNumberFormat="1" applyFill="1" applyBorder="1" applyProtection="1">
      <protection hidden="1"/>
    </xf>
    <xf numFmtId="179" fontId="1" fillId="21" borderId="1" xfId="14" applyNumberFormat="1" applyFill="1" applyBorder="1" applyProtection="1">
      <protection hidden="1"/>
    </xf>
    <xf numFmtId="44" fontId="60" fillId="22" borderId="0" xfId="14" applyNumberFormat="1" applyFont="1" applyFill="1" applyProtection="1">
      <protection hidden="1"/>
    </xf>
    <xf numFmtId="179" fontId="1" fillId="6" borderId="10" xfId="14" applyNumberFormat="1" applyFill="1" applyBorder="1" applyProtection="1">
      <protection hidden="1"/>
    </xf>
    <xf numFmtId="179" fontId="1" fillId="6" borderId="11" xfId="14" applyNumberFormat="1" applyFill="1" applyBorder="1" applyProtection="1">
      <protection hidden="1"/>
    </xf>
    <xf numFmtId="179" fontId="1" fillId="6" borderId="0" xfId="14" applyNumberFormat="1" applyFill="1" applyProtection="1">
      <protection hidden="1"/>
    </xf>
    <xf numFmtId="179" fontId="1" fillId="0" borderId="0" xfId="14" applyNumberFormat="1" applyProtection="1">
      <protection hidden="1"/>
    </xf>
    <xf numFmtId="44" fontId="1" fillId="22" borderId="0" xfId="14" applyNumberFormat="1" applyFill="1" applyProtection="1">
      <protection hidden="1"/>
    </xf>
    <xf numFmtId="44" fontId="1" fillId="3" borderId="0" xfId="14" applyNumberFormat="1" applyFill="1" applyProtection="1">
      <protection hidden="1"/>
    </xf>
    <xf numFmtId="0" fontId="1" fillId="7" borderId="21" xfId="14" applyFill="1" applyBorder="1" applyProtection="1">
      <protection hidden="1"/>
    </xf>
    <xf numFmtId="0" fontId="1" fillId="7" borderId="25" xfId="14" applyFill="1" applyBorder="1" applyProtection="1">
      <protection hidden="1"/>
    </xf>
    <xf numFmtId="0" fontId="1" fillId="7" borderId="2" xfId="14" applyFill="1" applyBorder="1" applyProtection="1">
      <protection hidden="1"/>
    </xf>
    <xf numFmtId="9" fontId="0" fillId="3" borderId="0" xfId="11" applyFont="1" applyFill="1" applyProtection="1">
      <protection hidden="1"/>
    </xf>
    <xf numFmtId="9" fontId="1" fillId="3" borderId="0" xfId="14" applyNumberFormat="1" applyFill="1" applyProtection="1">
      <protection hidden="1"/>
    </xf>
    <xf numFmtId="10" fontId="0" fillId="33" borderId="0" xfId="11" applyNumberFormat="1" applyFont="1" applyFill="1" applyProtection="1">
      <protection hidden="1"/>
    </xf>
    <xf numFmtId="9" fontId="1" fillId="6" borderId="0" xfId="11" applyFont="1" applyFill="1" applyProtection="1">
      <protection hidden="1"/>
    </xf>
    <xf numFmtId="10" fontId="0" fillId="0" borderId="0" xfId="11" applyNumberFormat="1" applyFont="1" applyFill="1" applyProtection="1">
      <protection hidden="1"/>
    </xf>
    <xf numFmtId="179" fontId="1" fillId="31" borderId="0" xfId="11" applyNumberFormat="1" applyFont="1" applyFill="1" applyProtection="1">
      <protection hidden="1"/>
    </xf>
    <xf numFmtId="179" fontId="1" fillId="0" borderId="0" xfId="11" applyNumberFormat="1" applyFont="1" applyProtection="1">
      <protection hidden="1"/>
    </xf>
    <xf numFmtId="179" fontId="1" fillId="32" borderId="0" xfId="11" applyNumberFormat="1" applyFont="1" applyFill="1" applyProtection="1">
      <protection hidden="1"/>
    </xf>
    <xf numFmtId="44" fontId="1" fillId="0" borderId="0" xfId="11" applyNumberFormat="1" applyFont="1" applyProtection="1">
      <protection hidden="1"/>
    </xf>
    <xf numFmtId="179" fontId="1" fillId="29" borderId="0" xfId="11" applyNumberFormat="1" applyFont="1" applyFill="1" applyProtection="1">
      <protection hidden="1"/>
    </xf>
    <xf numFmtId="44" fontId="1" fillId="33" borderId="0" xfId="11" applyNumberFormat="1" applyFont="1" applyFill="1" applyProtection="1">
      <protection hidden="1"/>
    </xf>
    <xf numFmtId="44" fontId="1" fillId="6" borderId="0" xfId="14" applyNumberFormat="1" applyFill="1" applyProtection="1">
      <protection hidden="1"/>
    </xf>
    <xf numFmtId="44" fontId="1" fillId="0" borderId="0" xfId="11" applyNumberFormat="1" applyFont="1" applyFill="1" applyProtection="1">
      <protection hidden="1"/>
    </xf>
    <xf numFmtId="44" fontId="1" fillId="11" borderId="0" xfId="14" applyNumberFormat="1" applyFill="1" applyProtection="1">
      <protection hidden="1"/>
    </xf>
    <xf numFmtId="9" fontId="1" fillId="3" borderId="0" xfId="11" applyFont="1" applyFill="1" applyProtection="1">
      <protection hidden="1"/>
    </xf>
    <xf numFmtId="10" fontId="1" fillId="33" borderId="0" xfId="11" applyNumberFormat="1" applyFont="1" applyFill="1" applyProtection="1">
      <protection hidden="1"/>
    </xf>
    <xf numFmtId="10" fontId="1" fillId="0" borderId="0" xfId="11" applyNumberFormat="1" applyFont="1" applyFill="1" applyProtection="1">
      <protection hidden="1"/>
    </xf>
    <xf numFmtId="179" fontId="1" fillId="31" borderId="0" xfId="14" applyNumberFormat="1" applyFill="1" applyProtection="1">
      <protection hidden="1"/>
    </xf>
    <xf numFmtId="179" fontId="1" fillId="29" borderId="0" xfId="14" applyNumberFormat="1" applyFill="1" applyProtection="1">
      <protection hidden="1"/>
    </xf>
    <xf numFmtId="44" fontId="1" fillId="28" borderId="0" xfId="14" applyNumberFormat="1" applyFill="1" applyProtection="1">
      <protection hidden="1"/>
    </xf>
    <xf numFmtId="0" fontId="1" fillId="28" borderId="0" xfId="14" applyFill="1" applyProtection="1">
      <protection hidden="1"/>
    </xf>
    <xf numFmtId="167" fontId="1" fillId="3" borderId="0" xfId="14" applyNumberFormat="1" applyFill="1" applyProtection="1">
      <protection hidden="1"/>
    </xf>
    <xf numFmtId="0" fontId="1" fillId="9" borderId="1" xfId="14" applyFill="1" applyBorder="1" applyProtection="1">
      <protection hidden="1"/>
    </xf>
    <xf numFmtId="0" fontId="24" fillId="31" borderId="0" xfId="14" applyFont="1" applyFill="1" applyAlignment="1" applyProtection="1">
      <alignment vertical="center"/>
      <protection hidden="1"/>
    </xf>
    <xf numFmtId="0" fontId="1" fillId="31" borderId="0" xfId="14" applyFill="1" applyAlignment="1" applyProtection="1">
      <alignment horizontal="center"/>
      <protection hidden="1"/>
    </xf>
    <xf numFmtId="0" fontId="1" fillId="32" borderId="0" xfId="14" applyFill="1" applyAlignment="1" applyProtection="1">
      <alignment horizontal="center"/>
      <protection hidden="1"/>
    </xf>
    <xf numFmtId="0" fontId="1" fillId="31" borderId="0" xfId="14" applyFill="1" applyProtection="1">
      <protection hidden="1"/>
    </xf>
    <xf numFmtId="0" fontId="1" fillId="32" borderId="0" xfId="14" applyFill="1" applyProtection="1">
      <protection hidden="1"/>
    </xf>
    <xf numFmtId="0" fontId="1" fillId="29" borderId="0" xfId="14" applyFill="1" applyProtection="1">
      <protection hidden="1"/>
    </xf>
    <xf numFmtId="9" fontId="1" fillId="3" borderId="0" xfId="14" applyNumberFormat="1" applyFill="1" applyAlignment="1" applyProtection="1">
      <alignment horizontal="right"/>
      <protection hidden="1"/>
    </xf>
    <xf numFmtId="9" fontId="1" fillId="6" borderId="0" xfId="14" applyNumberFormat="1" applyFill="1" applyProtection="1">
      <protection hidden="1"/>
    </xf>
    <xf numFmtId="0" fontId="1" fillId="3" borderId="0" xfId="14" applyFill="1" applyAlignment="1" applyProtection="1">
      <alignment horizontal="right"/>
      <protection hidden="1"/>
    </xf>
    <xf numFmtId="0" fontId="5" fillId="0" borderId="0" xfId="14" applyFont="1" applyProtection="1">
      <protection hidden="1"/>
    </xf>
    <xf numFmtId="0" fontId="24" fillId="28" borderId="0" xfId="14" applyFont="1" applyFill="1" applyProtection="1">
      <protection hidden="1"/>
    </xf>
    <xf numFmtId="44" fontId="1" fillId="6" borderId="1" xfId="14" applyNumberFormat="1" applyFill="1" applyBorder="1" applyAlignment="1" applyProtection="1">
      <alignment horizontal="center"/>
      <protection hidden="1"/>
    </xf>
    <xf numFmtId="0" fontId="1" fillId="6" borderId="1" xfId="14" applyFill="1" applyBorder="1" applyAlignment="1" applyProtection="1">
      <alignment horizontal="center"/>
      <protection hidden="1"/>
    </xf>
    <xf numFmtId="0" fontId="24" fillId="7" borderId="0" xfId="14" applyFont="1" applyFill="1" applyProtection="1">
      <protection hidden="1"/>
    </xf>
    <xf numFmtId="0" fontId="24" fillId="18" borderId="0" xfId="14" applyFont="1" applyFill="1" applyAlignment="1" applyProtection="1">
      <alignment horizontal="right"/>
      <protection hidden="1"/>
    </xf>
    <xf numFmtId="0" fontId="24" fillId="18" borderId="0" xfId="14" applyFont="1" applyFill="1" applyProtection="1">
      <protection hidden="1"/>
    </xf>
    <xf numFmtId="0" fontId="24" fillId="22" borderId="0" xfId="14" applyFont="1" applyFill="1" applyAlignment="1" applyProtection="1">
      <alignment horizontal="right"/>
      <protection hidden="1"/>
    </xf>
    <xf numFmtId="0" fontId="24" fillId="22" borderId="0" xfId="14" applyFont="1" applyFill="1" applyProtection="1">
      <protection hidden="1"/>
    </xf>
    <xf numFmtId="0" fontId="1" fillId="14" borderId="0" xfId="14" applyFill="1" applyProtection="1">
      <protection hidden="1"/>
    </xf>
    <xf numFmtId="0" fontId="24" fillId="14" borderId="0" xfId="14" applyFont="1" applyFill="1" applyProtection="1">
      <protection hidden="1"/>
    </xf>
    <xf numFmtId="0" fontId="1" fillId="11" borderId="1" xfId="14" applyFill="1" applyBorder="1" applyAlignment="1" applyProtection="1">
      <alignment horizontal="center"/>
      <protection hidden="1"/>
    </xf>
    <xf numFmtId="0" fontId="24" fillId="11" borderId="1" xfId="14" applyFont="1" applyFill="1" applyBorder="1" applyProtection="1">
      <protection hidden="1"/>
    </xf>
    <xf numFmtId="0" fontId="1" fillId="8" borderId="0" xfId="14" applyFill="1" applyProtection="1">
      <protection hidden="1"/>
    </xf>
    <xf numFmtId="0" fontId="24" fillId="31" borderId="0" xfId="14" applyFont="1" applyFill="1" applyProtection="1">
      <protection hidden="1"/>
    </xf>
    <xf numFmtId="0" fontId="1" fillId="18" borderId="0" xfId="14" applyFill="1" applyAlignment="1" applyProtection="1">
      <alignment horizontal="right"/>
      <protection hidden="1"/>
    </xf>
    <xf numFmtId="0" fontId="1" fillId="22" borderId="0" xfId="14" applyFill="1" applyAlignment="1" applyProtection="1">
      <alignment horizontal="right"/>
      <protection hidden="1"/>
    </xf>
    <xf numFmtId="0" fontId="24" fillId="14" borderId="0" xfId="14" applyFont="1" applyFill="1" applyAlignment="1" applyProtection="1">
      <alignment horizontal="right"/>
      <protection hidden="1"/>
    </xf>
    <xf numFmtId="0" fontId="24" fillId="8" borderId="0" xfId="14" applyFont="1" applyFill="1" applyProtection="1">
      <protection hidden="1"/>
    </xf>
    <xf numFmtId="0" fontId="24" fillId="8" borderId="0" xfId="14" applyFont="1" applyFill="1" applyAlignment="1" applyProtection="1">
      <alignment horizontal="right"/>
      <protection hidden="1"/>
    </xf>
    <xf numFmtId="0" fontId="24" fillId="31" borderId="0" xfId="14" applyFont="1" applyFill="1" applyAlignment="1" applyProtection="1">
      <alignment horizontal="right"/>
      <protection hidden="1"/>
    </xf>
    <xf numFmtId="178" fontId="1" fillId="18" borderId="0" xfId="14" applyNumberFormat="1" applyFill="1" applyProtection="1">
      <protection hidden="1"/>
    </xf>
    <xf numFmtId="178" fontId="1" fillId="22" borderId="0" xfId="14" applyNumberFormat="1" applyFill="1" applyProtection="1">
      <protection hidden="1"/>
    </xf>
    <xf numFmtId="178" fontId="1" fillId="14" borderId="0" xfId="14" applyNumberFormat="1" applyFill="1" applyProtection="1">
      <protection hidden="1"/>
    </xf>
    <xf numFmtId="44" fontId="1" fillId="8" borderId="0" xfId="14" applyNumberFormat="1" applyFill="1" applyProtection="1">
      <protection hidden="1"/>
    </xf>
    <xf numFmtId="0" fontId="1" fillId="8" borderId="0" xfId="14" applyFill="1" applyAlignment="1" applyProtection="1">
      <alignment horizontal="left"/>
      <protection hidden="1"/>
    </xf>
    <xf numFmtId="44" fontId="1" fillId="8" borderId="5" xfId="14" applyNumberFormat="1" applyFill="1" applyBorder="1" applyProtection="1">
      <protection hidden="1"/>
    </xf>
    <xf numFmtId="44" fontId="1" fillId="31" borderId="5" xfId="14" applyNumberFormat="1" applyFill="1" applyBorder="1" applyProtection="1">
      <protection hidden="1"/>
    </xf>
    <xf numFmtId="180" fontId="1" fillId="22" borderId="0" xfId="14" applyNumberFormat="1" applyFill="1" applyProtection="1">
      <protection hidden="1"/>
    </xf>
    <xf numFmtId="178" fontId="1" fillId="0" borderId="0" xfId="14" applyNumberFormat="1" applyProtection="1">
      <protection hidden="1"/>
    </xf>
    <xf numFmtId="178" fontId="24" fillId="18" borderId="0" xfId="14" applyNumberFormat="1" applyFont="1" applyFill="1" applyAlignment="1" applyProtection="1">
      <alignment horizontal="right"/>
      <protection hidden="1"/>
    </xf>
    <xf numFmtId="178" fontId="24" fillId="22" borderId="0" xfId="14" applyNumberFormat="1" applyFont="1" applyFill="1" applyAlignment="1" applyProtection="1">
      <alignment horizontal="right"/>
      <protection hidden="1"/>
    </xf>
    <xf numFmtId="178" fontId="24" fillId="14" borderId="0" xfId="14" applyNumberFormat="1" applyFont="1" applyFill="1" applyAlignment="1" applyProtection="1">
      <alignment horizontal="right"/>
      <protection hidden="1"/>
    </xf>
    <xf numFmtId="0" fontId="1" fillId="28" borderId="1" xfId="14" applyFill="1" applyBorder="1" applyProtection="1">
      <protection hidden="1"/>
    </xf>
    <xf numFmtId="178" fontId="1" fillId="3" borderId="0" xfId="14" applyNumberFormat="1" applyFill="1" applyProtection="1">
      <protection hidden="1"/>
    </xf>
    <xf numFmtId="0" fontId="1" fillId="11" borderId="1" xfId="14" applyFill="1" applyBorder="1" applyProtection="1">
      <protection hidden="1"/>
    </xf>
    <xf numFmtId="0" fontId="60" fillId="18" borderId="0" xfId="14" applyFont="1" applyFill="1" applyProtection="1">
      <protection hidden="1"/>
    </xf>
    <xf numFmtId="0" fontId="2" fillId="25" borderId="1" xfId="0" applyFont="1" applyFill="1" applyBorder="1" applyAlignment="1" applyProtection="1">
      <alignment horizontal="center" vertical="center" wrapText="1"/>
      <protection hidden="1"/>
    </xf>
    <xf numFmtId="0" fontId="0" fillId="0" borderId="1" xfId="0" applyBorder="1" applyProtection="1">
      <protection hidden="1"/>
    </xf>
    <xf numFmtId="0" fontId="4" fillId="6" borderId="21" xfId="9" applyFill="1" applyBorder="1" applyAlignment="1" applyProtection="1">
      <alignment horizontal="center"/>
      <protection locked="0"/>
    </xf>
    <xf numFmtId="0" fontId="0" fillId="0" borderId="2" xfId="0" applyBorder="1" applyAlignment="1" applyProtection="1">
      <alignment horizontal="center"/>
      <protection locked="0"/>
    </xf>
    <xf numFmtId="0" fontId="63"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0" fontId="63" fillId="0" borderId="0" xfId="0" applyFont="1" applyAlignment="1" applyProtection="1">
      <alignment horizontal="center"/>
      <protection hidden="1"/>
    </xf>
    <xf numFmtId="0" fontId="4" fillId="0" borderId="0" xfId="0" applyFont="1" applyProtection="1">
      <protection hidden="1"/>
    </xf>
    <xf numFmtId="0" fontId="63" fillId="23" borderId="1" xfId="0" applyFont="1" applyFill="1" applyBorder="1" applyAlignment="1" applyProtection="1">
      <alignment horizontal="center"/>
      <protection hidden="1"/>
    </xf>
    <xf numFmtId="0" fontId="0" fillId="23" borderId="1" xfId="0" applyFill="1" applyBorder="1" applyAlignment="1" applyProtection="1">
      <alignment horizontal="center"/>
      <protection hidden="1"/>
    </xf>
    <xf numFmtId="0" fontId="4" fillId="0" borderId="1" xfId="0" applyFont="1" applyBorder="1" applyAlignment="1" applyProtection="1">
      <alignment horizontal="center"/>
      <protection hidden="1"/>
    </xf>
    <xf numFmtId="0" fontId="69" fillId="0" borderId="21" xfId="9" applyFont="1" applyBorder="1" applyAlignment="1" applyProtection="1">
      <alignment horizontal="center"/>
      <protection hidden="1"/>
    </xf>
    <xf numFmtId="0" fontId="69" fillId="0" borderId="25" xfId="9" applyFont="1" applyBorder="1" applyAlignment="1" applyProtection="1">
      <alignment horizontal="center"/>
      <protection hidden="1"/>
    </xf>
    <xf numFmtId="0" fontId="69" fillId="0" borderId="2" xfId="9" applyFont="1" applyBorder="1" applyAlignment="1" applyProtection="1">
      <alignment horizontal="center"/>
      <protection hidden="1"/>
    </xf>
    <xf numFmtId="0" fontId="63" fillId="0" borderId="7" xfId="0" applyFont="1" applyBorder="1" applyAlignment="1" applyProtection="1">
      <alignment horizontal="center" vertical="center" wrapText="1"/>
      <protection hidden="1"/>
    </xf>
    <xf numFmtId="0" fontId="63" fillId="0" borderId="4" xfId="0" applyFont="1" applyBorder="1" applyAlignment="1" applyProtection="1">
      <alignment horizontal="center" vertical="center" wrapText="1"/>
      <protection hidden="1"/>
    </xf>
    <xf numFmtId="0" fontId="63" fillId="0" borderId="8" xfId="0" applyFont="1" applyBorder="1" applyAlignment="1" applyProtection="1">
      <alignment horizontal="center" vertical="center" wrapText="1"/>
      <protection hidden="1"/>
    </xf>
    <xf numFmtId="0" fontId="63" fillId="0" borderId="10" xfId="0" applyFont="1" applyBorder="1" applyAlignment="1" applyProtection="1">
      <alignment horizontal="center" vertical="center" wrapText="1"/>
      <protection hidden="1"/>
    </xf>
    <xf numFmtId="0" fontId="63" fillId="0" borderId="12" xfId="0" applyFont="1" applyBorder="1" applyAlignment="1" applyProtection="1">
      <alignment horizontal="center" vertical="center" wrapText="1"/>
      <protection hidden="1"/>
    </xf>
    <xf numFmtId="0" fontId="63" fillId="0" borderId="11" xfId="0" applyFont="1" applyBorder="1" applyAlignment="1" applyProtection="1">
      <alignment horizontal="center" vertical="center" wrapText="1"/>
      <protection hidden="1"/>
    </xf>
    <xf numFmtId="0" fontId="4" fillId="6" borderId="21" xfId="9" applyFill="1" applyBorder="1" applyAlignment="1" applyProtection="1">
      <alignment horizontal="center"/>
      <protection hidden="1"/>
    </xf>
    <xf numFmtId="0" fontId="0" fillId="0" borderId="2" xfId="0" applyBorder="1" applyAlignment="1" applyProtection="1">
      <alignment horizontal="center"/>
      <protection hidden="1"/>
    </xf>
    <xf numFmtId="0" fontId="2" fillId="0" borderId="1" xfId="9" applyFont="1" applyBorder="1" applyAlignment="1" applyProtection="1">
      <alignment horizontal="center"/>
      <protection hidden="1"/>
    </xf>
    <xf numFmtId="172" fontId="4" fillId="2" borderId="1" xfId="5" applyNumberFormat="1" applyFont="1" applyFill="1" applyBorder="1" applyAlignment="1" applyProtection="1">
      <alignment horizontal="center"/>
      <protection locked="0"/>
    </xf>
    <xf numFmtId="0" fontId="0" fillId="0" borderId="1" xfId="0" applyBorder="1" applyAlignment="1" applyProtection="1">
      <alignment horizontal="center"/>
      <protection locked="0"/>
    </xf>
    <xf numFmtId="14" fontId="4" fillId="2" borderId="1" xfId="5" applyNumberFormat="1" applyFont="1" applyFill="1" applyBorder="1" applyAlignment="1" applyProtection="1">
      <alignment horizontal="center"/>
      <protection locked="0"/>
    </xf>
    <xf numFmtId="0" fontId="0" fillId="0" borderId="1" xfId="0" applyBorder="1" applyProtection="1">
      <protection locked="0"/>
    </xf>
    <xf numFmtId="0" fontId="4" fillId="0" borderId="1" xfId="9" applyBorder="1" applyAlignment="1" applyProtection="1">
      <alignment horizontal="center" vertical="center" wrapText="1"/>
      <protection hidden="1"/>
    </xf>
    <xf numFmtId="0" fontId="2" fillId="0" borderId="1" xfId="9" applyFont="1" applyBorder="1" applyAlignment="1" applyProtection="1">
      <alignment horizontal="center" vertical="center"/>
      <protection hidden="1"/>
    </xf>
    <xf numFmtId="44" fontId="28" fillId="0" borderId="0" xfId="5" applyFont="1" applyFill="1" applyBorder="1" applyAlignment="1" applyProtection="1">
      <alignment horizontal="center"/>
      <protection hidden="1"/>
    </xf>
    <xf numFmtId="44" fontId="2" fillId="0" borderId="0" xfId="5" applyFont="1" applyFill="1" applyBorder="1" applyAlignment="1" applyProtection="1">
      <alignment horizontal="center"/>
      <protection hidden="1"/>
    </xf>
    <xf numFmtId="0" fontId="4" fillId="0" borderId="7" xfId="9" applyBorder="1" applyAlignment="1" applyProtection="1">
      <alignment horizontal="center" vertical="top" wrapText="1"/>
      <protection hidden="1"/>
    </xf>
    <xf numFmtId="0" fontId="4" fillId="0" borderId="8" xfId="9" applyBorder="1" applyAlignment="1" applyProtection="1">
      <alignment horizontal="center" vertical="top" wrapText="1"/>
      <protection hidden="1"/>
    </xf>
    <xf numFmtId="0" fontId="4" fillId="0" borderId="9" xfId="9" applyBorder="1" applyAlignment="1" applyProtection="1">
      <alignment horizontal="center" vertical="top" wrapText="1"/>
      <protection hidden="1"/>
    </xf>
    <xf numFmtId="0" fontId="4" fillId="0" borderId="3" xfId="9" applyBorder="1" applyAlignment="1" applyProtection="1">
      <alignment horizontal="center" vertical="top" wrapText="1"/>
      <protection hidden="1"/>
    </xf>
    <xf numFmtId="0" fontId="4" fillId="0" borderId="10" xfId="9" applyBorder="1" applyAlignment="1" applyProtection="1">
      <alignment horizontal="center" vertical="top" wrapText="1"/>
      <protection hidden="1"/>
    </xf>
    <xf numFmtId="0" fontId="4" fillId="0" borderId="11" xfId="9" applyBorder="1" applyAlignment="1" applyProtection="1">
      <alignment horizontal="center" vertical="top" wrapText="1"/>
      <protection hidden="1"/>
    </xf>
    <xf numFmtId="0" fontId="2" fillId="0" borderId="21" xfId="9" applyFont="1" applyBorder="1" applyAlignment="1" applyProtection="1">
      <alignment horizontal="center"/>
      <protection hidden="1"/>
    </xf>
    <xf numFmtId="0" fontId="2" fillId="0" borderId="25" xfId="9" applyFont="1" applyBorder="1" applyAlignment="1" applyProtection="1">
      <alignment horizontal="center"/>
      <protection hidden="1"/>
    </xf>
    <xf numFmtId="0" fontId="2" fillId="0" borderId="2" xfId="9" applyFont="1" applyBorder="1" applyAlignment="1" applyProtection="1">
      <alignment horizontal="center"/>
      <protection hidden="1"/>
    </xf>
    <xf numFmtId="172" fontId="4" fillId="0" borderId="21" xfId="5" applyNumberFormat="1" applyFont="1" applyFill="1" applyBorder="1" applyAlignment="1" applyProtection="1">
      <alignment horizontal="center"/>
      <protection hidden="1"/>
    </xf>
    <xf numFmtId="172" fontId="4" fillId="0" borderId="25" xfId="5" applyNumberFormat="1" applyFont="1" applyFill="1" applyBorder="1" applyAlignment="1" applyProtection="1">
      <alignment horizontal="center"/>
      <protection hidden="1"/>
    </xf>
    <xf numFmtId="172" fontId="4" fillId="0" borderId="2" xfId="5" applyNumberFormat="1" applyFont="1" applyFill="1" applyBorder="1" applyAlignment="1" applyProtection="1">
      <alignment horizontal="center"/>
      <protection hidden="1"/>
    </xf>
    <xf numFmtId="0" fontId="2" fillId="0" borderId="0" xfId="9" applyFont="1" applyAlignment="1" applyProtection="1">
      <alignment horizontal="center"/>
      <protection hidden="1"/>
    </xf>
    <xf numFmtId="0" fontId="4" fillId="0" borderId="13" xfId="9" applyBorder="1" applyAlignment="1" applyProtection="1">
      <alignment horizontal="center" wrapText="1"/>
      <protection hidden="1"/>
    </xf>
    <xf numFmtId="0" fontId="4" fillId="0" borderId="6" xfId="9" applyBorder="1" applyAlignment="1" applyProtection="1">
      <alignment horizontal="center" wrapText="1"/>
      <protection hidden="1"/>
    </xf>
    <xf numFmtId="0" fontId="4" fillId="0" borderId="21" xfId="9" applyBorder="1" applyAlignment="1" applyProtection="1">
      <alignment horizontal="center"/>
      <protection hidden="1"/>
    </xf>
    <xf numFmtId="0" fontId="4" fillId="0" borderId="2" xfId="9" applyBorder="1" applyAlignment="1" applyProtection="1">
      <alignment horizontal="center"/>
      <protection hidden="1"/>
    </xf>
    <xf numFmtId="0" fontId="4" fillId="4" borderId="0" xfId="0" applyFont="1" applyFill="1" applyAlignment="1" applyProtection="1">
      <alignment horizontal="center"/>
      <protection hidden="1"/>
    </xf>
    <xf numFmtId="0" fontId="0" fillId="0" borderId="21" xfId="0" applyBorder="1" applyAlignment="1" applyProtection="1">
      <alignment horizontal="left"/>
      <protection hidden="1"/>
    </xf>
    <xf numFmtId="0" fontId="0" fillId="0" borderId="25" xfId="0" applyBorder="1" applyAlignment="1" applyProtection="1">
      <alignment horizontal="left"/>
      <protection hidden="1"/>
    </xf>
    <xf numFmtId="0" fontId="0" fillId="0" borderId="2" xfId="0" applyBorder="1" applyProtection="1">
      <protection hidden="1"/>
    </xf>
    <xf numFmtId="0" fontId="2" fillId="0" borderId="1" xfId="0" applyFont="1" applyBorder="1" applyAlignment="1" applyProtection="1">
      <alignment horizontal="center" vertical="center" wrapText="1"/>
      <protection hidden="1"/>
    </xf>
    <xf numFmtId="44" fontId="2" fillId="0" borderId="1" xfId="4" applyFont="1" applyBorder="1" applyAlignment="1" applyProtection="1">
      <alignment horizontal="center" vertical="center" wrapText="1"/>
      <protection hidden="1"/>
    </xf>
    <xf numFmtId="0" fontId="2" fillId="0" borderId="0" xfId="0" applyFont="1" applyAlignment="1" applyProtection="1">
      <alignment horizontal="center"/>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2" fillId="0" borderId="0" xfId="0" applyFont="1" applyAlignment="1" applyProtection="1">
      <alignment horizontal="left" vertical="center"/>
      <protection hidden="1"/>
    </xf>
    <xf numFmtId="0" fontId="4" fillId="6" borderId="21" xfId="0" applyFont="1" applyFill="1" applyBorder="1" applyAlignment="1" applyProtection="1">
      <alignment horizontal="center"/>
      <protection locked="0"/>
    </xf>
    <xf numFmtId="0" fontId="4" fillId="6" borderId="25" xfId="0" applyFont="1" applyFill="1" applyBorder="1" applyAlignment="1" applyProtection="1">
      <alignment horizontal="center"/>
      <protection locked="0"/>
    </xf>
    <xf numFmtId="0" fontId="4" fillId="6" borderId="2" xfId="0" applyFont="1" applyFill="1" applyBorder="1" applyAlignment="1" applyProtection="1">
      <alignment horizontal="center"/>
      <protection locked="0"/>
    </xf>
    <xf numFmtId="0" fontId="0" fillId="6" borderId="7" xfId="0" applyFill="1" applyBorder="1" applyAlignment="1" applyProtection="1">
      <alignment horizontal="left" vertical="top" wrapText="1"/>
      <protection locked="0"/>
    </xf>
    <xf numFmtId="0" fontId="0" fillId="6" borderId="4" xfId="0" applyFill="1" applyBorder="1" applyAlignment="1" applyProtection="1">
      <alignment horizontal="left" vertical="top" wrapText="1"/>
      <protection locked="0"/>
    </xf>
    <xf numFmtId="0" fontId="0" fillId="6" borderId="8" xfId="0" applyFill="1" applyBorder="1" applyAlignment="1" applyProtection="1">
      <alignment horizontal="left" vertical="top" wrapText="1"/>
      <protection locked="0"/>
    </xf>
    <xf numFmtId="0" fontId="0" fillId="6" borderId="9"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0" fillId="6" borderId="10" xfId="0" applyFill="1" applyBorder="1" applyAlignment="1" applyProtection="1">
      <alignment horizontal="left" vertical="top" wrapText="1"/>
      <protection locked="0"/>
    </xf>
    <xf numFmtId="0" fontId="0" fillId="6" borderId="12" xfId="0" applyFill="1" applyBorder="1" applyAlignment="1" applyProtection="1">
      <alignment horizontal="left" vertical="top" wrapText="1"/>
      <protection locked="0"/>
    </xf>
    <xf numFmtId="0" fontId="0" fillId="6" borderId="11" xfId="0" applyFill="1" applyBorder="1" applyAlignment="1" applyProtection="1">
      <alignment horizontal="left" vertical="top" wrapText="1"/>
      <protection locked="0"/>
    </xf>
    <xf numFmtId="0" fontId="2" fillId="0" borderId="21"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164" fontId="30" fillId="4" borderId="0" xfId="4" applyNumberFormat="1" applyFont="1" applyFill="1" applyBorder="1" applyAlignment="1" applyProtection="1">
      <alignment horizontal="center" vertical="center"/>
      <protection hidden="1"/>
    </xf>
    <xf numFmtId="0" fontId="0" fillId="6" borderId="2" xfId="0" applyFill="1" applyBorder="1" applyAlignment="1" applyProtection="1">
      <alignment horizontal="center"/>
      <protection locked="0"/>
    </xf>
    <xf numFmtId="0" fontId="1" fillId="15" borderId="21" xfId="0" applyFont="1" applyFill="1" applyBorder="1" applyAlignment="1" applyProtection="1">
      <alignment horizontal="center"/>
      <protection hidden="1"/>
    </xf>
    <xf numFmtId="0" fontId="1" fillId="15" borderId="25" xfId="0" applyFont="1" applyFill="1" applyBorder="1" applyAlignment="1" applyProtection="1">
      <alignment horizontal="center"/>
      <protection hidden="1"/>
    </xf>
    <xf numFmtId="0" fontId="1" fillId="15" borderId="2" xfId="0" applyFont="1" applyFill="1" applyBorder="1" applyAlignment="1" applyProtection="1">
      <alignment horizontal="center"/>
      <protection hidden="1"/>
    </xf>
    <xf numFmtId="0" fontId="2" fillId="0" borderId="21" xfId="0" applyFont="1" applyBorder="1" applyAlignment="1" applyProtection="1">
      <alignment horizontal="center"/>
      <protection hidden="1"/>
    </xf>
    <xf numFmtId="0" fontId="2" fillId="0" borderId="25"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2" fillId="7" borderId="21" xfId="0" applyFont="1" applyFill="1" applyBorder="1" applyAlignment="1" applyProtection="1">
      <alignment horizontal="center"/>
      <protection hidden="1"/>
    </xf>
    <xf numFmtId="0" fontId="2" fillId="7" borderId="25" xfId="0" applyFont="1" applyFill="1" applyBorder="1" applyAlignment="1" applyProtection="1">
      <alignment horizontal="center"/>
      <protection hidden="1"/>
    </xf>
    <xf numFmtId="0" fontId="2" fillId="7" borderId="2"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0" fillId="4" borderId="0" xfId="0" applyFill="1" applyAlignment="1" applyProtection="1">
      <alignment horizontal="center"/>
      <protection hidden="1"/>
    </xf>
    <xf numFmtId="0" fontId="5" fillId="4" borderId="7" xfId="0" applyFont="1" applyFill="1" applyBorder="1" applyAlignment="1" applyProtection="1">
      <alignment horizontal="center"/>
      <protection hidden="1"/>
    </xf>
    <xf numFmtId="0" fontId="5" fillId="4" borderId="8" xfId="0" applyFont="1" applyFill="1" applyBorder="1" applyAlignment="1" applyProtection="1">
      <alignment horizontal="center"/>
      <protection hidden="1"/>
    </xf>
    <xf numFmtId="0" fontId="4" fillId="0" borderId="7" xfId="0" applyFont="1" applyBorder="1" applyAlignment="1" applyProtection="1">
      <alignment horizontal="center" wrapText="1"/>
      <protection hidden="1"/>
    </xf>
    <xf numFmtId="0" fontId="0" fillId="0" borderId="4" xfId="0" applyBorder="1" applyAlignment="1" applyProtection="1">
      <alignment horizontal="center" wrapText="1"/>
      <protection hidden="1"/>
    </xf>
    <xf numFmtId="0" fontId="0" fillId="0" borderId="8"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2"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2" fillId="0" borderId="1" xfId="0" applyFont="1" applyBorder="1" applyAlignment="1" applyProtection="1">
      <alignment horizontal="center"/>
      <protection hidden="1"/>
    </xf>
    <xf numFmtId="0" fontId="4" fillId="6" borderId="1" xfId="0" applyFont="1" applyFill="1" applyBorder="1" applyAlignment="1" applyProtection="1">
      <alignment horizontal="center"/>
      <protection locked="0"/>
    </xf>
    <xf numFmtId="0" fontId="5" fillId="0" borderId="0" xfId="0" applyFont="1" applyAlignment="1" applyProtection="1">
      <alignment horizontal="center"/>
      <protection hidden="1"/>
    </xf>
    <xf numFmtId="0" fontId="2" fillId="4" borderId="1" xfId="0" applyFont="1" applyFill="1" applyBorder="1" applyAlignment="1" applyProtection="1">
      <alignment horizontal="center"/>
      <protection hidden="1"/>
    </xf>
    <xf numFmtId="0" fontId="0" fillId="4" borderId="1" xfId="0" applyFill="1" applyBorder="1" applyProtection="1">
      <protection hidden="1"/>
    </xf>
    <xf numFmtId="0" fontId="2" fillId="4" borderId="13"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wrapText="1"/>
      <protection hidden="1"/>
    </xf>
    <xf numFmtId="0" fontId="2" fillId="4" borderId="25" xfId="0" applyFont="1" applyFill="1" applyBorder="1" applyAlignment="1" applyProtection="1">
      <alignment horizontal="center" wrapText="1"/>
      <protection hidden="1"/>
    </xf>
    <xf numFmtId="0" fontId="2" fillId="4" borderId="2" xfId="0" applyFont="1" applyFill="1" applyBorder="1" applyAlignment="1" applyProtection="1">
      <alignment horizontal="center" wrapText="1"/>
      <protection hidden="1"/>
    </xf>
    <xf numFmtId="0" fontId="2" fillId="0" borderId="10" xfId="0" applyFont="1" applyBorder="1" applyAlignment="1" applyProtection="1">
      <alignment horizontal="center"/>
      <protection hidden="1"/>
    </xf>
    <xf numFmtId="0" fontId="0" fillId="0" borderId="12" xfId="0" applyBorder="1" applyProtection="1">
      <protection hidden="1"/>
    </xf>
    <xf numFmtId="0" fontId="4" fillId="4" borderId="1" xfId="0" applyFont="1" applyFill="1" applyBorder="1" applyAlignment="1" applyProtection="1">
      <alignment horizontal="left"/>
      <protection hidden="1"/>
    </xf>
    <xf numFmtId="0" fontId="2" fillId="4" borderId="7"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4" borderId="0" xfId="0" applyFont="1" applyFill="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2" fillId="4" borderId="10" xfId="0" applyFont="1" applyFill="1" applyBorder="1" applyAlignment="1" applyProtection="1">
      <alignment horizontal="center" vertical="center" wrapText="1"/>
      <protection hidden="1"/>
    </xf>
    <xf numFmtId="0" fontId="2" fillId="4" borderId="12"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wrapText="1"/>
      <protection hidden="1"/>
    </xf>
    <xf numFmtId="0" fontId="2" fillId="15" borderId="21" xfId="0" applyFont="1" applyFill="1" applyBorder="1" applyAlignment="1" applyProtection="1">
      <alignment horizontal="center"/>
      <protection hidden="1"/>
    </xf>
    <xf numFmtId="0" fontId="2" fillId="15" borderId="2" xfId="0" applyFont="1" applyFill="1" applyBorder="1" applyAlignment="1" applyProtection="1">
      <alignment horizontal="center"/>
      <protection hidden="1"/>
    </xf>
    <xf numFmtId="0" fontId="4" fillId="0" borderId="9" xfId="0" applyFont="1" applyBorder="1" applyAlignment="1" applyProtection="1">
      <alignment horizontal="right"/>
      <protection hidden="1"/>
    </xf>
    <xf numFmtId="0" fontId="4" fillId="0" borderId="3" xfId="0" applyFont="1" applyBorder="1" applyAlignment="1" applyProtection="1">
      <alignment horizontal="right"/>
      <protection hidden="1"/>
    </xf>
    <xf numFmtId="0" fontId="2" fillId="15" borderId="25" xfId="0" applyFont="1" applyFill="1" applyBorder="1" applyAlignment="1" applyProtection="1">
      <alignment horizontal="center"/>
      <protection hidden="1"/>
    </xf>
    <xf numFmtId="0" fontId="2" fillId="4" borderId="12" xfId="0" applyFont="1" applyFill="1" applyBorder="1" applyAlignment="1" applyProtection="1">
      <alignment horizontal="center"/>
      <protection hidden="1"/>
    </xf>
    <xf numFmtId="0" fontId="60" fillId="0" borderId="12" xfId="0" applyFont="1" applyBorder="1" applyAlignment="1" applyProtection="1">
      <alignment horizontal="center" vertical="center"/>
      <protection hidden="1"/>
    </xf>
    <xf numFmtId="0" fontId="2" fillId="24" borderId="1" xfId="0" applyFont="1" applyFill="1" applyBorder="1" applyAlignment="1" applyProtection="1">
      <alignment horizontal="center" vertical="center" wrapText="1"/>
      <protection hidden="1"/>
    </xf>
    <xf numFmtId="9" fontId="0" fillId="27" borderId="21" xfId="0" applyNumberFormat="1" applyFill="1" applyBorder="1" applyAlignment="1" applyProtection="1">
      <alignment horizontal="center" vertical="center"/>
      <protection hidden="1"/>
    </xf>
    <xf numFmtId="9" fontId="0" fillId="27" borderId="2" xfId="0" applyNumberFormat="1" applyFill="1" applyBorder="1" applyAlignment="1" applyProtection="1">
      <alignment horizontal="center" vertical="center"/>
      <protection hidden="1"/>
    </xf>
    <xf numFmtId="0" fontId="2" fillId="26" borderId="21" xfId="0" applyFont="1" applyFill="1" applyBorder="1" applyAlignment="1" applyProtection="1">
      <alignment horizontal="center"/>
      <protection hidden="1"/>
    </xf>
    <xf numFmtId="0" fontId="2" fillId="26" borderId="25" xfId="0" applyFont="1" applyFill="1" applyBorder="1" applyAlignment="1" applyProtection="1">
      <alignment horizontal="center"/>
      <protection hidden="1"/>
    </xf>
    <xf numFmtId="0" fontId="2" fillId="26" borderId="2" xfId="0" applyFont="1" applyFill="1" applyBorder="1" applyAlignment="1" applyProtection="1">
      <alignment horizontal="center"/>
      <protection hidden="1"/>
    </xf>
    <xf numFmtId="0" fontId="1" fillId="32" borderId="21" xfId="14" applyFill="1" applyBorder="1" applyAlignment="1" applyProtection="1">
      <alignment horizontal="center"/>
      <protection hidden="1"/>
    </xf>
    <xf numFmtId="0" fontId="1" fillId="32" borderId="25" xfId="14" applyFill="1" applyBorder="1" applyAlignment="1" applyProtection="1">
      <alignment horizontal="center"/>
      <protection hidden="1"/>
    </xf>
    <xf numFmtId="0" fontId="1" fillId="32" borderId="2" xfId="14" applyFill="1" applyBorder="1" applyAlignment="1" applyProtection="1">
      <alignment horizontal="center"/>
      <protection hidden="1"/>
    </xf>
    <xf numFmtId="0" fontId="24" fillId="3" borderId="1" xfId="14" applyFont="1" applyFill="1" applyBorder="1" applyAlignment="1" applyProtection="1">
      <alignment horizontal="center" vertical="center" wrapText="1"/>
      <protection hidden="1"/>
    </xf>
    <xf numFmtId="0" fontId="24" fillId="22" borderId="1" xfId="14" applyFont="1" applyFill="1" applyBorder="1" applyAlignment="1" applyProtection="1">
      <alignment horizontal="center"/>
      <protection hidden="1"/>
    </xf>
    <xf numFmtId="0" fontId="24" fillId="31" borderId="0" xfId="14" applyFont="1" applyFill="1" applyAlignment="1" applyProtection="1">
      <alignment horizontal="center" vertical="center"/>
      <protection hidden="1"/>
    </xf>
    <xf numFmtId="0" fontId="24" fillId="29" borderId="0" xfId="14" applyFont="1" applyFill="1" applyAlignment="1" applyProtection="1">
      <alignment horizontal="center" vertical="center"/>
      <protection hidden="1"/>
    </xf>
    <xf numFmtId="0" fontId="24" fillId="31" borderId="0" xfId="14" applyFont="1" applyFill="1" applyAlignment="1" applyProtection="1">
      <alignment horizontal="center"/>
      <protection hidden="1"/>
    </xf>
    <xf numFmtId="0" fontId="24" fillId="32" borderId="0" xfId="14" applyFont="1" applyFill="1" applyAlignment="1" applyProtection="1">
      <alignment horizontal="center"/>
      <protection hidden="1"/>
    </xf>
    <xf numFmtId="0" fontId="24" fillId="29" borderId="0" xfId="14" applyFont="1" applyFill="1" applyAlignment="1" applyProtection="1">
      <alignment horizontal="center"/>
      <protection hidden="1"/>
    </xf>
    <xf numFmtId="0" fontId="24" fillId="6" borderId="21" xfId="14" applyFont="1" applyFill="1" applyBorder="1" applyAlignment="1" applyProtection="1">
      <alignment horizontal="center"/>
      <protection hidden="1"/>
    </xf>
    <xf numFmtId="0" fontId="24" fillId="6" borderId="2" xfId="14" applyFont="1" applyFill="1" applyBorder="1" applyAlignment="1" applyProtection="1">
      <alignment horizontal="center"/>
      <protection hidden="1"/>
    </xf>
    <xf numFmtId="0" fontId="24" fillId="18" borderId="1" xfId="14" applyFont="1" applyFill="1" applyBorder="1" applyAlignment="1" applyProtection="1">
      <alignment horizontal="center"/>
      <protection hidden="1"/>
    </xf>
    <xf numFmtId="0" fontId="1" fillId="11" borderId="21" xfId="14" applyFill="1" applyBorder="1" applyAlignment="1" applyProtection="1">
      <alignment horizontal="center"/>
      <protection hidden="1"/>
    </xf>
    <xf numFmtId="0" fontId="1" fillId="11" borderId="25" xfId="14" applyFill="1" applyBorder="1" applyAlignment="1" applyProtection="1">
      <alignment horizontal="center"/>
      <protection hidden="1"/>
    </xf>
    <xf numFmtId="0" fontId="1" fillId="11" borderId="2" xfId="14" applyFill="1" applyBorder="1" applyAlignment="1" applyProtection="1">
      <alignment horizontal="center"/>
      <protection hidden="1"/>
    </xf>
    <xf numFmtId="0" fontId="1" fillId="7" borderId="1" xfId="14" applyFill="1" applyBorder="1" applyAlignment="1" applyProtection="1">
      <alignment horizontal="center"/>
      <protection hidden="1"/>
    </xf>
    <xf numFmtId="0" fontId="1" fillId="7" borderId="4" xfId="14" applyFill="1" applyBorder="1" applyAlignment="1" applyProtection="1">
      <alignment horizontal="center"/>
      <protection hidden="1"/>
    </xf>
    <xf numFmtId="0" fontId="1" fillId="6" borderId="21" xfId="14" applyFill="1" applyBorder="1" applyAlignment="1" applyProtection="1">
      <alignment horizontal="center"/>
      <protection hidden="1"/>
    </xf>
    <xf numFmtId="0" fontId="1" fillId="6" borderId="2" xfId="14" applyFill="1" applyBorder="1" applyAlignment="1" applyProtection="1">
      <alignment horizontal="center"/>
      <protection hidden="1"/>
    </xf>
    <xf numFmtId="0" fontId="1" fillId="0" borderId="0" xfId="14" applyAlignment="1" applyProtection="1">
      <alignment horizontal="left"/>
      <protection hidden="1"/>
    </xf>
    <xf numFmtId="0" fontId="24" fillId="18" borderId="13" xfId="14" applyFont="1" applyFill="1" applyBorder="1" applyAlignment="1" applyProtection="1">
      <alignment horizontal="center" vertical="center" wrapText="1"/>
      <protection hidden="1"/>
    </xf>
    <xf numFmtId="0" fontId="24" fillId="18" borderId="14" xfId="14" applyFont="1" applyFill="1" applyBorder="1" applyAlignment="1" applyProtection="1">
      <alignment horizontal="center" vertical="center" wrapText="1"/>
      <protection hidden="1"/>
    </xf>
    <xf numFmtId="0" fontId="24" fillId="18" borderId="6" xfId="14" applyFont="1" applyFill="1" applyBorder="1" applyAlignment="1" applyProtection="1">
      <alignment horizontal="center" vertical="center" wrapText="1"/>
      <protection hidden="1"/>
    </xf>
    <xf numFmtId="0" fontId="24" fillId="18" borderId="7" xfId="14" applyFont="1" applyFill="1" applyBorder="1" applyAlignment="1" applyProtection="1">
      <alignment horizontal="center" vertical="center" wrapText="1"/>
      <protection hidden="1"/>
    </xf>
    <xf numFmtId="0" fontId="24" fillId="22" borderId="1" xfId="14" applyFont="1" applyFill="1" applyBorder="1" applyAlignment="1" applyProtection="1">
      <alignment horizontal="center" vertical="center" wrapText="1"/>
      <protection hidden="1"/>
    </xf>
    <xf numFmtId="0" fontId="1" fillId="11" borderId="9" xfId="14" applyFill="1" applyBorder="1" applyAlignment="1" applyProtection="1">
      <alignment horizontal="center"/>
      <protection hidden="1"/>
    </xf>
    <xf numFmtId="0" fontId="1" fillId="11" borderId="0" xfId="14" applyFill="1" applyAlignment="1" applyProtection="1">
      <alignment horizontal="center"/>
      <protection hidden="1"/>
    </xf>
    <xf numFmtId="0" fontId="1" fillId="11" borderId="3" xfId="14" applyFill="1" applyBorder="1" applyAlignment="1" applyProtection="1">
      <alignment horizontal="center"/>
      <protection hidden="1"/>
    </xf>
    <xf numFmtId="0" fontId="1" fillId="7" borderId="0" xfId="14" applyFill="1" applyAlignment="1" applyProtection="1">
      <alignment horizontal="left"/>
      <protection hidden="1"/>
    </xf>
    <xf numFmtId="0" fontId="1" fillId="11" borderId="0" xfId="14" applyFill="1" applyAlignment="1" applyProtection="1">
      <alignment horizontal="left"/>
      <protection hidden="1"/>
    </xf>
    <xf numFmtId="0" fontId="24" fillId="18" borderId="0" xfId="14" applyFont="1" applyFill="1" applyAlignment="1" applyProtection="1">
      <alignment horizontal="center"/>
      <protection hidden="1"/>
    </xf>
    <xf numFmtId="9" fontId="1" fillId="3" borderId="0" xfId="14" applyNumberFormat="1" applyFill="1" applyAlignment="1" applyProtection="1">
      <alignment horizontal="right"/>
      <protection hidden="1"/>
    </xf>
    <xf numFmtId="0" fontId="24" fillId="22" borderId="0" xfId="14" applyFont="1" applyFill="1" applyAlignment="1" applyProtection="1">
      <alignment horizontal="center"/>
      <protection hidden="1"/>
    </xf>
    <xf numFmtId="0" fontId="24" fillId="14" borderId="0" xfId="14" applyFont="1" applyFill="1" applyAlignment="1" applyProtection="1">
      <alignment horizontal="center"/>
      <protection hidden="1"/>
    </xf>
    <xf numFmtId="0" fontId="50" fillId="0" borderId="0" xfId="9" applyFont="1" applyAlignment="1">
      <alignment horizontal="left" wrapText="1"/>
    </xf>
    <xf numFmtId="171" fontId="82" fillId="35" borderId="25" xfId="7" applyFont="1" applyFill="1" applyBorder="1" applyAlignment="1">
      <alignment horizontal="center" vertical="center"/>
    </xf>
    <xf numFmtId="2" fontId="90" fillId="35" borderId="0" xfId="7" applyNumberFormat="1" applyFont="1" applyFill="1" applyAlignment="1">
      <alignment horizontal="center" vertical="center"/>
    </xf>
    <xf numFmtId="171" fontId="82" fillId="35" borderId="0" xfId="7" applyFont="1" applyFill="1" applyAlignment="1">
      <alignment horizontal="center" vertical="center"/>
    </xf>
  </cellXfs>
  <cellStyles count="17">
    <cellStyle name="Comma" xfId="1" builtinId="3"/>
    <cellStyle name="Comma 2" xfId="2" xr:uid="{00000000-0005-0000-0000-000001000000}"/>
    <cellStyle name="Comma 3" xfId="3" xr:uid="{00000000-0005-0000-0000-000002000000}"/>
    <cellStyle name="Comma 3 2" xfId="16" xr:uid="{7A99600A-AEB5-44A2-B356-C0E17B7B0B0D}"/>
    <cellStyle name="Currency" xfId="4" builtinId="4"/>
    <cellStyle name="Currency 2" xfId="5" xr:uid="{00000000-0005-0000-0000-000004000000}"/>
    <cellStyle name="Hyperlink 2 2" xfId="15" xr:uid="{1A3C9FA9-CB92-48A0-8485-5C165D43E13C}"/>
    <cellStyle name="Normal" xfId="0" builtinId="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4" xr:uid="{2C148ABF-12E0-4946-A456-920FD4EC0A76}"/>
    <cellStyle name="Normal_Sheet1" xfId="10" xr:uid="{00000000-0005-0000-0000-00000A000000}"/>
    <cellStyle name="Percent" xfId="11" builtinId="5"/>
    <cellStyle name="Percent 2" xfId="12" xr:uid="{00000000-0005-0000-0000-00000C000000}"/>
    <cellStyle name="Percent 3" xfId="13" xr:uid="{00000000-0005-0000-0000-00000D000000}"/>
  </cellStyles>
  <dxfs count="116">
    <dxf>
      <font>
        <color rgb="FFFF0000"/>
      </font>
    </dxf>
    <dxf>
      <font>
        <color rgb="FFFF0000"/>
      </font>
    </dxf>
    <dxf>
      <fill>
        <patternFill>
          <bgColor theme="5" tint="0.59996337778862885"/>
        </patternFill>
      </fill>
    </dxf>
    <dxf>
      <fill>
        <patternFill>
          <bgColor theme="9" tint="0.59996337778862885"/>
        </patternFill>
      </fill>
    </dxf>
    <dxf>
      <fill>
        <patternFill>
          <bgColor rgb="FF92D050"/>
        </patternFill>
      </fill>
    </dxf>
    <dxf>
      <fill>
        <patternFill>
          <bgColor theme="5" tint="0.59996337778862885"/>
        </patternFill>
      </fill>
    </dxf>
    <dxf>
      <fill>
        <patternFill>
          <bgColor rgb="FF92D050"/>
        </patternFill>
      </fill>
    </dxf>
    <dxf>
      <fill>
        <patternFill>
          <bgColor rgb="FF92D050"/>
        </patternFill>
      </fill>
    </dxf>
    <dxf>
      <fill>
        <patternFill>
          <bgColor theme="9" tint="0.59996337778862885"/>
        </patternFill>
      </fill>
    </dxf>
    <dxf>
      <fill>
        <patternFill>
          <bgColor theme="5" tint="0.59996337778862885"/>
        </patternFill>
      </fill>
    </dxf>
    <dxf>
      <font>
        <color rgb="FFFF0000"/>
      </font>
    </dxf>
    <dxf>
      <fill>
        <patternFill>
          <bgColor rgb="FF92D050"/>
        </patternFill>
      </fill>
    </dxf>
    <dxf>
      <fill>
        <patternFill>
          <bgColor theme="5" tint="0.59996337778862885"/>
        </patternFill>
      </fill>
    </dxf>
    <dxf>
      <fill>
        <patternFill>
          <bgColor theme="9"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rgb="FF92D050"/>
        </patternFill>
      </fill>
    </dxf>
    <dxf>
      <font>
        <color rgb="FFFF0000"/>
      </font>
    </dxf>
    <dxf>
      <fill>
        <patternFill>
          <bgColor rgb="FF92D050"/>
        </patternFill>
      </fill>
    </dxf>
    <dxf>
      <fill>
        <patternFill>
          <bgColor theme="9" tint="0.59996337778862885"/>
        </patternFill>
      </fill>
    </dxf>
    <dxf>
      <fill>
        <patternFill>
          <bgColor theme="5" tint="0.59996337778862885"/>
        </patternFill>
      </fill>
    </dxf>
    <dxf>
      <font>
        <color rgb="FFFF0000"/>
      </font>
    </dxf>
    <dxf>
      <font>
        <color rgb="FFFF0000"/>
      </font>
    </dxf>
    <dxf>
      <font>
        <color rgb="FFFF0000"/>
      </font>
    </dxf>
    <dxf>
      <font>
        <color rgb="FFFF0000"/>
      </font>
    </dxf>
    <dxf>
      <fill>
        <patternFill>
          <bgColor theme="9"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9" tint="0.59996337778862885"/>
        </patternFill>
      </fill>
    </dxf>
    <dxf>
      <fill>
        <patternFill>
          <bgColor theme="5" tint="0.59996337778862885"/>
        </patternFill>
      </fill>
    </dxf>
    <dxf>
      <font>
        <color rgb="FFFF0000"/>
      </font>
    </dxf>
    <dxf>
      <font>
        <color rgb="FFFF0000"/>
      </font>
    </dxf>
    <dxf>
      <font>
        <color rgb="FFFF0000"/>
      </font>
    </dxf>
    <dxf>
      <font>
        <color rgb="FFFF0000"/>
      </font>
    </dxf>
    <dxf>
      <fill>
        <patternFill>
          <bgColor rgb="FF92D050"/>
        </patternFill>
      </fill>
    </dxf>
    <dxf>
      <fill>
        <patternFill>
          <bgColor theme="5" tint="0.59996337778862885"/>
        </patternFill>
      </fill>
    </dxf>
    <dxf>
      <fill>
        <patternFill>
          <bgColor theme="5" tint="0.59996337778862885"/>
        </patternFill>
      </fill>
    </dxf>
    <dxf>
      <fill>
        <patternFill>
          <bgColor rgb="FF92D050"/>
        </patternFill>
      </fill>
    </dxf>
    <dxf>
      <fill>
        <patternFill>
          <bgColor rgb="FF92D050"/>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rgb="FF92D050"/>
        </patternFill>
      </fill>
    </dxf>
    <dxf>
      <fill>
        <patternFill>
          <bgColor theme="6" tint="0.59996337778862885"/>
        </patternFill>
      </fill>
    </dxf>
    <dxf>
      <fill>
        <patternFill>
          <bgColor theme="5" tint="0.59996337778862885"/>
        </patternFill>
      </fill>
    </dxf>
    <dxf>
      <fill>
        <patternFill>
          <bgColor rgb="FF92D050"/>
        </patternFill>
      </fill>
    </dxf>
    <dxf>
      <fill>
        <patternFill>
          <bgColor theme="5" tint="0.59996337778862885"/>
        </patternFill>
      </fill>
    </dxf>
    <dxf>
      <font>
        <color rgb="FFFF0000"/>
      </font>
    </dxf>
    <dxf>
      <fill>
        <patternFill>
          <bgColor theme="5" tint="0.79998168889431442"/>
        </patternFill>
      </fill>
    </dxf>
    <dxf>
      <fill>
        <patternFill>
          <bgColor theme="9" tint="0.79998168889431442"/>
        </patternFill>
      </fill>
    </dxf>
    <dxf>
      <fill>
        <patternFill>
          <bgColor rgb="FF92D050"/>
        </patternFill>
      </fill>
    </dxf>
    <dxf>
      <fill>
        <patternFill>
          <bgColor rgb="FF92D050"/>
        </patternFill>
      </fill>
    </dxf>
    <dxf>
      <fill>
        <patternFill>
          <bgColor theme="5" tint="0.59996337778862885"/>
        </patternFill>
      </fill>
    </dxf>
    <dxf>
      <font>
        <color rgb="FFFF0000"/>
      </font>
    </dxf>
    <dxf>
      <fill>
        <patternFill>
          <bgColor theme="5" tint="0.79998168889431442"/>
        </patternFill>
      </fill>
    </dxf>
    <dxf>
      <fill>
        <patternFill>
          <bgColor theme="9" tint="0.79998168889431442"/>
        </patternFill>
      </fill>
    </dxf>
    <dxf>
      <fill>
        <patternFill>
          <bgColor rgb="FF92D050"/>
        </patternFill>
      </fill>
    </dxf>
    <dxf>
      <fill>
        <patternFill>
          <bgColor theme="9" tint="0.79998168889431442"/>
        </patternFill>
      </fill>
    </dxf>
    <dxf>
      <fill>
        <patternFill>
          <bgColor theme="5" tint="0.79998168889431442"/>
        </patternFill>
      </fill>
    </dxf>
    <dxf>
      <fill>
        <patternFill>
          <bgColor rgb="FF92D050"/>
        </patternFill>
      </fill>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rgb="FF92D050"/>
        </patternFill>
      </fill>
    </dxf>
    <dxf>
      <font>
        <color rgb="FFFF0000"/>
      </font>
    </dxf>
    <dxf>
      <font>
        <color rgb="FFFF0000"/>
      </font>
    </dxf>
    <dxf>
      <font>
        <color rgb="FFFF0000"/>
      </font>
    </dxf>
    <dxf>
      <font>
        <color rgb="FFFF0000"/>
      </font>
    </dxf>
    <dxf>
      <font>
        <color rgb="FFFF0000"/>
      </font>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ont>
        <color rgb="FFFF0000"/>
      </font>
    </dxf>
  </dxfs>
  <tableStyles count="0" defaultTableStyle="TableStyleMedium9" defaultPivotStyle="PivotStyleLight16"/>
  <colors>
    <mruColors>
      <color rgb="FFEEE8EE"/>
      <color rgb="FFFFFF99"/>
      <color rgb="FFCCEC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45720</xdr:colOff>
      <xdr:row>0</xdr:row>
      <xdr:rowOff>99060</xdr:rowOff>
    </xdr:from>
    <xdr:to>
      <xdr:col>9</xdr:col>
      <xdr:colOff>335280</xdr:colOff>
      <xdr:row>3</xdr:row>
      <xdr:rowOff>91440</xdr:rowOff>
    </xdr:to>
    <xdr:pic>
      <xdr:nvPicPr>
        <xdr:cNvPr id="14910" name="Picture 2">
          <a:extLst>
            <a:ext uri="{FF2B5EF4-FFF2-40B4-BE49-F238E27FC236}">
              <a16:creationId xmlns:a16="http://schemas.microsoft.com/office/drawing/2014/main" id="{A3CAD373-4E34-4AB3-9E20-452F928A3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99060"/>
          <a:ext cx="195072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228600</xdr:colOff>
      <xdr:row>0</xdr:row>
      <xdr:rowOff>91440</xdr:rowOff>
    </xdr:from>
    <xdr:to>
      <xdr:col>8</xdr:col>
      <xdr:colOff>8292</xdr:colOff>
      <xdr:row>3</xdr:row>
      <xdr:rowOff>76200</xdr:rowOff>
    </xdr:to>
    <xdr:pic>
      <xdr:nvPicPr>
        <xdr:cNvPr id="4920" name="Picture 2">
          <a:extLst>
            <a:ext uri="{FF2B5EF4-FFF2-40B4-BE49-F238E27FC236}">
              <a16:creationId xmlns:a16="http://schemas.microsoft.com/office/drawing/2014/main" id="{6FABA877-39C0-4DE5-9B44-E7FD9283F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4120" y="91440"/>
          <a:ext cx="194310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403860</xdr:colOff>
      <xdr:row>1</xdr:row>
      <xdr:rowOff>38100</xdr:rowOff>
    </xdr:from>
    <xdr:to>
      <xdr:col>9</xdr:col>
      <xdr:colOff>275665</xdr:colOff>
      <xdr:row>4</xdr:row>
      <xdr:rowOff>38100</xdr:rowOff>
    </xdr:to>
    <xdr:pic>
      <xdr:nvPicPr>
        <xdr:cNvPr id="16131" name="Picture 2">
          <a:extLst>
            <a:ext uri="{FF2B5EF4-FFF2-40B4-BE49-F238E27FC236}">
              <a16:creationId xmlns:a16="http://schemas.microsoft.com/office/drawing/2014/main" id="{D3C82FA1-32E8-4C5F-8DB6-5BE0259B8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205740"/>
          <a:ext cx="19278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incomeandwealth/compendium/familyspending/2015/methodolog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7"/>
  <sheetViews>
    <sheetView showGridLines="0" tabSelected="1" zoomScale="85" zoomScaleNormal="85" workbookViewId="0">
      <selection activeCell="A4" sqref="A4"/>
    </sheetView>
  </sheetViews>
  <sheetFormatPr defaultColWidth="9" defaultRowHeight="13.2"/>
  <cols>
    <col min="1" max="1" width="44.88671875" style="37" customWidth="1"/>
    <col min="2" max="2" width="16" style="37" customWidth="1"/>
    <col min="3" max="3" width="10" style="37" customWidth="1"/>
    <col min="4" max="4" width="3" style="37" customWidth="1"/>
    <col min="5" max="5" width="16.6640625" style="37" customWidth="1"/>
    <col min="6" max="6" width="10.33203125" style="37" customWidth="1"/>
    <col min="7" max="8" width="7.33203125" style="37" customWidth="1"/>
    <col min="9" max="9" width="16.88671875" style="37" customWidth="1"/>
    <col min="10" max="10" width="11.33203125" style="37" customWidth="1"/>
    <col min="11" max="11" width="6.6640625" style="37" customWidth="1"/>
    <col min="12" max="12" width="16.33203125" style="37" hidden="1" customWidth="1"/>
    <col min="13" max="13" width="15.33203125" style="37" hidden="1" customWidth="1"/>
    <col min="14" max="14" width="14.33203125" style="37" hidden="1" customWidth="1"/>
    <col min="15" max="15" width="13.33203125" style="37" hidden="1" customWidth="1"/>
    <col min="16" max="16" width="14" style="37" hidden="1" customWidth="1"/>
    <col min="17" max="17" width="12.88671875" style="37" hidden="1" customWidth="1"/>
    <col min="18" max="18" width="12.6640625" style="37" hidden="1" customWidth="1"/>
    <col min="19" max="19" width="14.33203125" style="37" hidden="1" customWidth="1"/>
    <col min="20" max="20" width="14" style="37" hidden="1" customWidth="1"/>
    <col min="21" max="21" width="15.6640625" style="37" hidden="1" customWidth="1"/>
    <col min="22" max="22" width="12.6640625" style="37" hidden="1" customWidth="1"/>
    <col min="23" max="23" width="11.33203125" style="37" hidden="1" customWidth="1"/>
    <col min="24" max="24" width="15.109375" style="37" hidden="1" customWidth="1"/>
    <col min="25" max="25" width="9" style="37" hidden="1" customWidth="1"/>
    <col min="26" max="26" width="12.109375" style="37" hidden="1" customWidth="1"/>
    <col min="27" max="27" width="12.6640625" style="37" hidden="1" customWidth="1"/>
    <col min="28" max="29" width="9" style="37" hidden="1" customWidth="1"/>
    <col min="30" max="16384" width="9" style="37"/>
  </cols>
  <sheetData>
    <row r="1" spans="1:29">
      <c r="A1" s="33"/>
      <c r="B1" s="33"/>
      <c r="C1" s="34"/>
      <c r="D1" s="34"/>
      <c r="E1" s="34"/>
      <c r="F1" s="34"/>
      <c r="G1" s="34"/>
      <c r="H1" s="34"/>
      <c r="I1" s="34"/>
      <c r="J1" s="34"/>
      <c r="K1" s="34"/>
      <c r="L1" s="35"/>
      <c r="M1" s="35"/>
      <c r="N1" s="35"/>
      <c r="O1" s="35"/>
      <c r="P1" s="35"/>
      <c r="Q1" s="35"/>
      <c r="R1" s="35"/>
      <c r="S1" s="35"/>
      <c r="T1" s="35"/>
      <c r="U1" s="35"/>
      <c r="V1" s="35"/>
      <c r="W1" s="35"/>
      <c r="X1" s="36"/>
      <c r="Y1" s="36"/>
      <c r="Z1" s="36"/>
      <c r="AA1" s="36"/>
      <c r="AB1" s="36"/>
      <c r="AC1" s="36"/>
    </row>
    <row r="2" spans="1:29">
      <c r="A2" s="25" t="s">
        <v>536</v>
      </c>
      <c r="B2" s="1186" t="s">
        <v>558</v>
      </c>
      <c r="C2" s="1169"/>
      <c r="E2" s="1186" t="s">
        <v>20</v>
      </c>
      <c r="F2" s="1165"/>
      <c r="G2" s="34"/>
      <c r="H2" s="34"/>
      <c r="I2" s="34"/>
      <c r="J2" s="34"/>
      <c r="K2" s="34"/>
      <c r="L2" s="35"/>
      <c r="M2" s="35"/>
      <c r="N2" s="35"/>
      <c r="O2" s="35"/>
      <c r="P2" s="35"/>
      <c r="Q2" s="35"/>
      <c r="R2" s="35"/>
      <c r="S2" s="35"/>
      <c r="T2" s="35"/>
      <c r="U2" s="35"/>
      <c r="V2" s="35"/>
      <c r="W2" s="35"/>
      <c r="X2" s="36"/>
      <c r="Y2" s="36"/>
      <c r="Z2" s="36"/>
      <c r="AA2" s="36"/>
      <c r="AB2" s="36"/>
      <c r="AC2" s="36"/>
    </row>
    <row r="3" spans="1:29">
      <c r="A3" s="1010"/>
      <c r="B3" s="1187"/>
      <c r="C3" s="1188"/>
      <c r="E3" s="1189"/>
      <c r="F3" s="1190"/>
      <c r="G3" s="34"/>
      <c r="H3" s="34"/>
      <c r="I3" s="34"/>
      <c r="J3" s="34"/>
      <c r="K3" s="34"/>
      <c r="L3" s="35"/>
      <c r="M3" s="35"/>
      <c r="N3" s="35"/>
      <c r="O3" s="35"/>
      <c r="P3" s="35"/>
      <c r="Q3" s="35"/>
      <c r="R3" s="35"/>
      <c r="S3" s="35"/>
      <c r="T3" s="35"/>
      <c r="U3" s="35"/>
      <c r="V3" s="35"/>
      <c r="W3" s="35"/>
      <c r="X3" s="36"/>
      <c r="Y3" s="36"/>
      <c r="Z3" s="36"/>
      <c r="AA3" s="36"/>
      <c r="AB3" s="36"/>
      <c r="AC3" s="36"/>
    </row>
    <row r="4" spans="1:29">
      <c r="A4" s="33"/>
      <c r="B4" s="1170" t="s">
        <v>719</v>
      </c>
      <c r="C4" s="1171"/>
      <c r="D4" s="34"/>
      <c r="E4" s="1170" t="s">
        <v>754</v>
      </c>
      <c r="F4" s="1171"/>
      <c r="G4" s="34"/>
      <c r="H4" s="34"/>
      <c r="I4" s="34"/>
      <c r="J4" s="34"/>
      <c r="K4" s="34"/>
      <c r="L4" s="35"/>
      <c r="M4" s="35"/>
      <c r="N4" s="35"/>
      <c r="O4" s="35"/>
      <c r="P4" s="35"/>
      <c r="Q4" s="35"/>
      <c r="R4" s="35"/>
      <c r="S4" s="35"/>
      <c r="T4" s="35"/>
      <c r="U4" s="35"/>
      <c r="V4" s="35"/>
      <c r="W4" s="35"/>
      <c r="X4" s="36"/>
      <c r="Y4" s="36"/>
      <c r="Z4" s="36"/>
      <c r="AA4" s="36"/>
      <c r="AB4" s="36"/>
      <c r="AC4" s="36"/>
    </row>
    <row r="5" spans="1:29">
      <c r="A5" s="40" t="s">
        <v>724</v>
      </c>
      <c r="B5" s="1166" t="s">
        <v>139</v>
      </c>
      <c r="C5" s="1167"/>
      <c r="D5" s="34"/>
      <c r="E5" s="1166" t="s">
        <v>139</v>
      </c>
      <c r="F5" s="1167"/>
      <c r="G5" s="34"/>
      <c r="H5" s="556" t="s">
        <v>1455</v>
      </c>
      <c r="I5" s="34"/>
      <c r="K5" s="34"/>
      <c r="L5" s="35"/>
      <c r="M5" s="35"/>
      <c r="N5" s="35"/>
      <c r="O5" s="35"/>
      <c r="P5" s="35"/>
      <c r="Q5" s="35"/>
      <c r="R5" s="35"/>
      <c r="S5" s="35"/>
      <c r="T5" s="35"/>
      <c r="U5" s="35"/>
      <c r="V5" s="35"/>
      <c r="W5" s="35"/>
      <c r="X5" s="36"/>
      <c r="Y5" s="36"/>
      <c r="Z5" s="36"/>
      <c r="AA5" s="36"/>
      <c r="AB5" s="36"/>
      <c r="AC5" s="36"/>
    </row>
    <row r="6" spans="1:29">
      <c r="A6" s="40"/>
      <c r="B6" s="40"/>
      <c r="C6" s="41"/>
      <c r="E6" s="34"/>
      <c r="F6" s="41"/>
      <c r="G6" s="34"/>
      <c r="H6" s="556" t="s">
        <v>907</v>
      </c>
      <c r="I6" s="34"/>
      <c r="J6" s="34"/>
      <c r="K6" s="34"/>
      <c r="L6" s="35"/>
      <c r="M6" s="35"/>
      <c r="N6" s="35"/>
      <c r="O6" s="35"/>
      <c r="P6" s="35"/>
      <c r="Q6" s="35"/>
      <c r="R6" s="35"/>
      <c r="S6" s="35"/>
      <c r="T6" s="35"/>
      <c r="U6" s="35"/>
      <c r="V6" s="35"/>
      <c r="W6" s="35"/>
      <c r="X6" s="36"/>
      <c r="Y6" s="36"/>
      <c r="Z6" s="36"/>
      <c r="AA6" s="36"/>
      <c r="AB6" s="36"/>
      <c r="AC6" s="36"/>
    </row>
    <row r="7" spans="1:29">
      <c r="A7" s="33"/>
      <c r="B7" s="27" t="s">
        <v>553</v>
      </c>
      <c r="C7" s="27" t="s">
        <v>229</v>
      </c>
      <c r="D7" s="34"/>
      <c r="E7" s="27" t="s">
        <v>553</v>
      </c>
      <c r="F7" s="27" t="s">
        <v>229</v>
      </c>
      <c r="G7" s="34" t="s">
        <v>26</v>
      </c>
      <c r="K7" s="34"/>
      <c r="L7" s="35"/>
      <c r="M7" s="35"/>
      <c r="N7" s="35"/>
      <c r="O7" s="35"/>
      <c r="P7" s="35"/>
      <c r="Q7" s="35"/>
      <c r="R7" s="35"/>
      <c r="S7" s="35"/>
      <c r="T7" s="35"/>
      <c r="U7" s="35"/>
      <c r="V7" s="35"/>
      <c r="W7" s="35"/>
      <c r="X7" s="36"/>
      <c r="Y7" s="36"/>
      <c r="Z7" s="36"/>
      <c r="AA7" s="36"/>
      <c r="AB7" s="36"/>
      <c r="AC7" s="36"/>
    </row>
    <row r="8" spans="1:29">
      <c r="A8" s="37" t="s">
        <v>552</v>
      </c>
      <c r="B8" s="1011"/>
      <c r="C8" s="541"/>
      <c r="D8" s="40"/>
      <c r="E8" s="1011"/>
      <c r="F8" s="541"/>
      <c r="H8" s="1184" t="s">
        <v>767</v>
      </c>
      <c r="I8" s="1185"/>
      <c r="K8" s="34"/>
      <c r="L8" s="35"/>
      <c r="M8" s="35"/>
      <c r="N8" s="35"/>
      <c r="O8" s="35"/>
      <c r="P8" s="35"/>
      <c r="Q8" s="35"/>
      <c r="R8" s="35"/>
      <c r="S8" s="35"/>
      <c r="T8" s="35"/>
      <c r="U8" s="35"/>
      <c r="V8" s="35"/>
      <c r="W8" s="35"/>
      <c r="X8" s="36"/>
      <c r="Y8" s="36"/>
      <c r="Z8" s="36"/>
      <c r="AA8" s="36"/>
      <c r="AB8" s="36"/>
      <c r="AC8" s="36"/>
    </row>
    <row r="9" spans="1:29">
      <c r="I9" s="34"/>
      <c r="J9" s="34"/>
      <c r="K9" s="34"/>
      <c r="L9" s="35"/>
      <c r="M9" s="35"/>
      <c r="N9" s="35"/>
      <c r="O9" s="35"/>
      <c r="P9" s="35"/>
      <c r="Q9" s="35"/>
      <c r="R9" s="35"/>
      <c r="S9" s="35"/>
      <c r="T9" s="35"/>
      <c r="U9" s="35"/>
      <c r="V9" s="35"/>
      <c r="W9" s="35"/>
      <c r="X9" s="36"/>
      <c r="Y9" s="36"/>
      <c r="Z9" s="36"/>
      <c r="AA9" s="36"/>
      <c r="AB9" s="36"/>
      <c r="AC9" s="36"/>
    </row>
    <row r="10" spans="1:29">
      <c r="A10" s="44"/>
      <c r="B10" s="1175" t="s">
        <v>564</v>
      </c>
      <c r="C10" s="1176"/>
      <c r="D10" s="1176"/>
      <c r="E10" s="1176"/>
      <c r="F10" s="1177"/>
      <c r="H10" s="43" t="s">
        <v>722</v>
      </c>
      <c r="K10" s="34"/>
      <c r="L10" s="45" t="s">
        <v>52</v>
      </c>
      <c r="M10" s="45" t="s">
        <v>52</v>
      </c>
      <c r="N10" s="35"/>
      <c r="O10" s="35"/>
      <c r="P10" s="46" t="s">
        <v>736</v>
      </c>
      <c r="Q10" s="35"/>
      <c r="R10" s="35"/>
      <c r="S10" s="46" t="s">
        <v>737</v>
      </c>
      <c r="T10" s="35"/>
      <c r="U10" s="35"/>
      <c r="V10" s="35"/>
      <c r="W10" s="35"/>
      <c r="X10" s="36"/>
      <c r="Y10" s="36"/>
      <c r="Z10" s="36"/>
      <c r="AA10" s="36"/>
      <c r="AB10" s="36"/>
      <c r="AC10" s="36"/>
    </row>
    <row r="11" spans="1:29">
      <c r="A11" s="47" t="s">
        <v>555</v>
      </c>
      <c r="K11" s="34"/>
      <c r="L11" s="45" t="s">
        <v>5</v>
      </c>
      <c r="M11" s="45" t="s">
        <v>5</v>
      </c>
      <c r="N11" s="36"/>
      <c r="O11" s="35"/>
      <c r="P11" s="35"/>
      <c r="Q11" s="35"/>
      <c r="R11" s="35"/>
      <c r="S11" s="36"/>
      <c r="T11" s="35"/>
      <c r="U11" s="35"/>
      <c r="V11" s="35"/>
      <c r="W11" s="35"/>
      <c r="X11" s="36"/>
      <c r="Y11" s="36"/>
      <c r="Z11" s="36"/>
      <c r="AA11" s="36"/>
      <c r="AB11" s="36"/>
      <c r="AC11" s="36"/>
    </row>
    <row r="12" spans="1:29">
      <c r="A12" s="29" t="s">
        <v>47</v>
      </c>
      <c r="B12" s="1012">
        <v>0</v>
      </c>
      <c r="C12" s="1013" t="s">
        <v>50</v>
      </c>
      <c r="D12" s="40"/>
      <c r="E12" s="1012">
        <v>0</v>
      </c>
      <c r="F12" s="1013" t="s">
        <v>50</v>
      </c>
      <c r="H12" s="37" t="s">
        <v>71</v>
      </c>
      <c r="J12" s="541">
        <v>2</v>
      </c>
      <c r="K12" s="34"/>
      <c r="L12" s="36">
        <f t="shared" ref="L12:L19" si="0">IF(C12="",0,IF(C12="Annually",B12*N12,IF(C12="Monthly",B12*N12*12,B12*N12*52)))</f>
        <v>0</v>
      </c>
      <c r="M12" s="36">
        <f t="shared" ref="M12:M19" si="1">IF(F12="",0,IF(F12="Annually",E12*N12,IF(F12="Monthly",E12*N12*12,E12*N12*52)))</f>
        <v>0</v>
      </c>
      <c r="N12" s="48">
        <v>1</v>
      </c>
      <c r="O12" s="35"/>
      <c r="P12" s="49">
        <f t="shared" ref="P12:P19" si="2">SUM(L12+M12)</f>
        <v>0</v>
      </c>
      <c r="Q12" s="35"/>
      <c r="R12" s="35"/>
      <c r="S12" s="50" t="str">
        <f>H16</f>
        <v>2 adults and 0 children</v>
      </c>
      <c r="T12" s="35"/>
      <c r="U12" s="35"/>
      <c r="V12" s="35"/>
      <c r="W12" s="35"/>
      <c r="X12" s="36"/>
      <c r="Y12" s="36"/>
      <c r="Z12" s="36"/>
      <c r="AA12" s="36"/>
      <c r="AB12" s="36"/>
      <c r="AC12" s="36"/>
    </row>
    <row r="13" spans="1:29">
      <c r="A13" s="29" t="s">
        <v>33</v>
      </c>
      <c r="B13" s="1012">
        <v>0</v>
      </c>
      <c r="C13" s="1013" t="s">
        <v>50</v>
      </c>
      <c r="D13" s="40"/>
      <c r="E13" s="1012">
        <v>0</v>
      </c>
      <c r="F13" s="1013" t="s">
        <v>50</v>
      </c>
      <c r="G13" s="34"/>
      <c r="H13" s="37" t="s">
        <v>74</v>
      </c>
      <c r="J13" s="541">
        <v>0</v>
      </c>
      <c r="K13" s="34"/>
      <c r="L13" s="36">
        <f t="shared" si="0"/>
        <v>0</v>
      </c>
      <c r="M13" s="36">
        <f t="shared" si="1"/>
        <v>0</v>
      </c>
      <c r="N13" s="48">
        <v>1</v>
      </c>
      <c r="O13" s="35"/>
      <c r="P13" s="49">
        <f t="shared" si="2"/>
        <v>0</v>
      </c>
      <c r="Q13" s="35"/>
      <c r="R13" s="35"/>
      <c r="S13" s="35"/>
      <c r="T13" s="35"/>
      <c r="U13" s="35"/>
      <c r="V13" s="35"/>
      <c r="W13" s="35"/>
      <c r="X13" s="36"/>
      <c r="Y13" s="36"/>
      <c r="Z13" s="36"/>
      <c r="AA13" s="36"/>
      <c r="AB13" s="36"/>
      <c r="AC13" s="36"/>
    </row>
    <row r="14" spans="1:29">
      <c r="A14" s="29" t="s">
        <v>34</v>
      </c>
      <c r="B14" s="1012">
        <v>0</v>
      </c>
      <c r="C14" s="1013" t="s">
        <v>50</v>
      </c>
      <c r="D14" s="40"/>
      <c r="E14" s="1012">
        <v>0</v>
      </c>
      <c r="F14" s="1013" t="s">
        <v>50</v>
      </c>
      <c r="G14" s="34"/>
      <c r="K14" s="34"/>
      <c r="L14" s="36">
        <f t="shared" si="0"/>
        <v>0</v>
      </c>
      <c r="M14" s="36">
        <f t="shared" si="1"/>
        <v>0</v>
      </c>
      <c r="N14" s="48">
        <v>1</v>
      </c>
      <c r="O14" s="35"/>
      <c r="P14" s="49">
        <f t="shared" si="2"/>
        <v>0</v>
      </c>
      <c r="Q14" s="35"/>
      <c r="R14" s="35"/>
      <c r="S14" s="35"/>
      <c r="T14" s="35"/>
      <c r="U14" s="35"/>
      <c r="V14" s="35"/>
      <c r="W14" s="35"/>
      <c r="X14" s="36"/>
      <c r="Y14" s="36"/>
      <c r="Z14" s="36"/>
      <c r="AA14" s="36"/>
      <c r="AB14" s="36"/>
      <c r="AC14" s="36"/>
    </row>
    <row r="15" spans="1:29">
      <c r="A15" s="40" t="s">
        <v>550</v>
      </c>
      <c r="B15" s="1012">
        <v>0</v>
      </c>
      <c r="C15" s="1013" t="s">
        <v>50</v>
      </c>
      <c r="D15" s="40"/>
      <c r="E15" s="1012">
        <v>0</v>
      </c>
      <c r="F15" s="1013" t="s">
        <v>50</v>
      </c>
      <c r="G15" s="34"/>
      <c r="H15" s="1168" t="s">
        <v>515</v>
      </c>
      <c r="I15" s="1169"/>
      <c r="J15" s="1169"/>
      <c r="K15" s="34"/>
      <c r="L15" s="36">
        <f t="shared" si="0"/>
        <v>0</v>
      </c>
      <c r="M15" s="36">
        <f t="shared" si="1"/>
        <v>0</v>
      </c>
      <c r="N15" s="48">
        <v>1</v>
      </c>
      <c r="O15" s="35"/>
      <c r="P15" s="49">
        <f t="shared" si="2"/>
        <v>0</v>
      </c>
      <c r="Q15" s="35"/>
      <c r="R15" s="35"/>
      <c r="S15" s="36" t="s">
        <v>91</v>
      </c>
      <c r="T15" s="35"/>
      <c r="U15" s="49">
        <f>'Occupy borrower Affordability'!J36</f>
        <v>263.0333333333333</v>
      </c>
      <c r="V15" s="35"/>
      <c r="W15" s="35"/>
      <c r="X15" s="36"/>
      <c r="Y15" s="36"/>
      <c r="Z15" s="36"/>
      <c r="AA15" s="36"/>
      <c r="AB15" s="36"/>
      <c r="AC15" s="36"/>
    </row>
    <row r="16" spans="1:29">
      <c r="A16" s="51" t="s">
        <v>562</v>
      </c>
      <c r="B16" s="1012">
        <v>0</v>
      </c>
      <c r="C16" s="1013" t="s">
        <v>50</v>
      </c>
      <c r="D16" s="40"/>
      <c r="E16" s="1012">
        <v>0</v>
      </c>
      <c r="F16" s="1013" t="s">
        <v>50</v>
      </c>
      <c r="G16" s="34"/>
      <c r="H16" s="1172" t="str">
        <f>'Occupy borrower Affordability'!H34</f>
        <v>2 adults and 0 children</v>
      </c>
      <c r="I16" s="1173"/>
      <c r="J16" s="1173"/>
      <c r="K16" s="34"/>
      <c r="L16" s="36">
        <f t="shared" si="0"/>
        <v>0</v>
      </c>
      <c r="M16" s="36">
        <f t="shared" si="1"/>
        <v>0</v>
      </c>
      <c r="N16" s="48">
        <v>0.5</v>
      </c>
      <c r="O16" s="35"/>
      <c r="P16" s="49">
        <f t="shared" si="2"/>
        <v>0</v>
      </c>
      <c r="Q16" s="35"/>
      <c r="R16" s="35"/>
      <c r="S16" s="52" t="s">
        <v>111</v>
      </c>
      <c r="T16" s="35"/>
      <c r="U16" s="49">
        <f>'Occupy borrower Affordability'!J37</f>
        <v>145.42016666666666</v>
      </c>
      <c r="V16" s="35"/>
      <c r="W16" s="35"/>
      <c r="X16" s="36"/>
      <c r="Y16" s="36"/>
      <c r="Z16" s="36"/>
      <c r="AA16" s="36"/>
      <c r="AB16" s="36"/>
      <c r="AC16" s="36"/>
    </row>
    <row r="17" spans="1:29">
      <c r="A17" s="47" t="s">
        <v>560</v>
      </c>
      <c r="B17" s="30"/>
      <c r="C17" s="30"/>
      <c r="D17" s="30"/>
      <c r="E17" s="30"/>
      <c r="F17" s="30"/>
      <c r="G17" s="30"/>
      <c r="K17" s="34"/>
      <c r="L17" s="36"/>
      <c r="M17" s="36"/>
      <c r="N17" s="48"/>
      <c r="O17" s="35"/>
      <c r="P17" s="53">
        <f>SUM(P12:P16)</f>
        <v>0</v>
      </c>
      <c r="Q17" s="35"/>
      <c r="R17" s="35"/>
      <c r="S17" s="52" t="s">
        <v>113</v>
      </c>
      <c r="T17" s="35"/>
      <c r="U17" s="49" t="e">
        <f>'Occupy borrower Affordability'!#REF!</f>
        <v>#REF!</v>
      </c>
      <c r="V17" s="35"/>
      <c r="W17" s="35"/>
      <c r="X17" s="36"/>
      <c r="Y17" s="36"/>
      <c r="Z17" s="36"/>
      <c r="AA17" s="36"/>
      <c r="AB17" s="36"/>
      <c r="AC17" s="36"/>
    </row>
    <row r="18" spans="1:29">
      <c r="A18" s="29" t="s">
        <v>133</v>
      </c>
      <c r="B18" s="1012">
        <v>0</v>
      </c>
      <c r="C18" s="1013" t="s">
        <v>50</v>
      </c>
      <c r="D18" s="40"/>
      <c r="E18" s="1012">
        <v>0</v>
      </c>
      <c r="F18" s="1013" t="s">
        <v>50</v>
      </c>
      <c r="G18" s="34"/>
      <c r="K18" s="34"/>
      <c r="L18" s="36">
        <f t="shared" si="0"/>
        <v>0</v>
      </c>
      <c r="M18" s="36">
        <f t="shared" si="1"/>
        <v>0</v>
      </c>
      <c r="N18" s="48">
        <v>1</v>
      </c>
      <c r="O18" s="35"/>
      <c r="P18" s="49">
        <f t="shared" si="2"/>
        <v>0</v>
      </c>
      <c r="Q18" s="35"/>
      <c r="R18" s="35"/>
      <c r="S18" s="52" t="s">
        <v>112</v>
      </c>
      <c r="T18" s="35"/>
      <c r="U18" s="49">
        <f>'Occupy borrower Affordability'!J39</f>
        <v>0</v>
      </c>
      <c r="V18" s="35"/>
      <c r="W18" s="35"/>
      <c r="X18" s="36"/>
      <c r="Y18" s="36"/>
      <c r="Z18" s="36"/>
      <c r="AA18" s="36"/>
      <c r="AB18" s="36"/>
      <c r="AC18" s="36"/>
    </row>
    <row r="19" spans="1:29">
      <c r="A19" s="29" t="s">
        <v>134</v>
      </c>
      <c r="B19" s="1012">
        <v>0</v>
      </c>
      <c r="C19" s="1013" t="s">
        <v>50</v>
      </c>
      <c r="D19" s="40"/>
      <c r="E19" s="1012">
        <v>0</v>
      </c>
      <c r="F19" s="1013" t="s">
        <v>50</v>
      </c>
      <c r="G19" s="34"/>
      <c r="I19" s="725" t="s">
        <v>542</v>
      </c>
      <c r="J19" s="726">
        <f>'Occupy borrower Affordability'!AL70</f>
        <v>7.9399999999999998E-2</v>
      </c>
      <c r="K19" s="34"/>
      <c r="L19" s="36">
        <f t="shared" si="0"/>
        <v>0</v>
      </c>
      <c r="M19" s="36">
        <f t="shared" si="1"/>
        <v>0</v>
      </c>
      <c r="N19" s="48">
        <v>1</v>
      </c>
      <c r="O19" s="35"/>
      <c r="P19" s="49">
        <f t="shared" si="2"/>
        <v>0</v>
      </c>
      <c r="Q19" s="35"/>
      <c r="R19" s="35"/>
      <c r="S19" s="52" t="s">
        <v>114</v>
      </c>
      <c r="T19" s="35"/>
      <c r="U19" s="49">
        <f>'Occupy borrower Affordability'!J40</f>
        <v>98.583333333333343</v>
      </c>
      <c r="V19" s="35"/>
      <c r="W19" s="35"/>
      <c r="X19" s="36"/>
      <c r="Y19" s="36"/>
      <c r="Z19" s="36"/>
      <c r="AA19" s="36"/>
      <c r="AB19" s="36"/>
      <c r="AC19" s="36"/>
    </row>
    <row r="20" spans="1:29">
      <c r="A20" s="54" t="s">
        <v>179</v>
      </c>
      <c r="B20" s="34"/>
      <c r="C20" s="34"/>
      <c r="D20" s="34"/>
      <c r="E20" s="34"/>
      <c r="F20" s="34"/>
      <c r="G20" s="34"/>
      <c r="K20" s="34"/>
      <c r="L20" s="36"/>
      <c r="M20" s="36"/>
      <c r="N20" s="35"/>
      <c r="O20" s="35"/>
      <c r="P20" s="53">
        <f>SUM(P18:P19)</f>
        <v>0</v>
      </c>
      <c r="Q20" s="35"/>
      <c r="R20" s="35"/>
      <c r="S20" s="36" t="s">
        <v>84</v>
      </c>
      <c r="T20" s="35"/>
      <c r="U20" s="49">
        <f>'Occupy borrower Affordability'!J43</f>
        <v>0</v>
      </c>
      <c r="V20" s="35"/>
      <c r="W20" s="35"/>
      <c r="X20" s="36"/>
      <c r="Y20" s="36"/>
      <c r="Z20" s="36"/>
      <c r="AA20" s="36"/>
      <c r="AB20" s="36"/>
      <c r="AC20" s="36"/>
    </row>
    <row r="21" spans="1:29">
      <c r="A21" s="29" t="s">
        <v>180</v>
      </c>
      <c r="B21" s="1012">
        <v>0</v>
      </c>
      <c r="C21" s="1013" t="s">
        <v>7</v>
      </c>
      <c r="D21" s="40"/>
      <c r="E21" s="1012">
        <v>0</v>
      </c>
      <c r="F21" s="1013" t="s">
        <v>7</v>
      </c>
      <c r="G21" s="34"/>
      <c r="K21" s="34"/>
      <c r="L21" s="36">
        <f>IF(C21="",0,IF(C21="Annually",B21*N21,IF(C21="Monthly",B21*N21*12,B21*N21*52)))</f>
        <v>0</v>
      </c>
      <c r="M21" s="36">
        <f>IF(F21="",0,IF(F21="Annually",E21*N21,IF(F21="Monthly",E21*N21*12,E21*N21*52)))</f>
        <v>0</v>
      </c>
      <c r="N21" s="48">
        <v>1</v>
      </c>
      <c r="O21" s="35"/>
      <c r="P21" s="57">
        <f>SUM(L21+M21)</f>
        <v>0</v>
      </c>
      <c r="Q21" s="35"/>
      <c r="R21" s="35"/>
      <c r="S21" s="52" t="s">
        <v>161</v>
      </c>
      <c r="T21" s="35"/>
      <c r="U21" s="49">
        <f>'Occupy borrower Affordability'!AL58</f>
        <v>185.4666666666524</v>
      </c>
      <c r="V21" s="35"/>
      <c r="W21" s="35"/>
      <c r="X21" s="36"/>
      <c r="Y21" s="36"/>
      <c r="Z21" s="36"/>
      <c r="AA21" s="36"/>
      <c r="AB21" s="36"/>
      <c r="AC21" s="36"/>
    </row>
    <row r="22" spans="1:29">
      <c r="A22" s="29" t="s">
        <v>110</v>
      </c>
      <c r="B22" s="1012">
        <v>0</v>
      </c>
      <c r="C22" s="1013" t="s">
        <v>7</v>
      </c>
      <c r="D22" s="40"/>
      <c r="E22" s="1012">
        <v>0</v>
      </c>
      <c r="F22" s="1013" t="s">
        <v>7</v>
      </c>
      <c r="K22" s="34"/>
      <c r="L22" s="55">
        <f>IF(C22="",0,IF(C22="Annually",B22*N22,IF(C22="Monthly",B22*N22*12,B22*N22*52)))</f>
        <v>0</v>
      </c>
      <c r="M22" s="55">
        <f>IF(F22="",0,IF(F22="Annually",E22*N22,IF(F22="Monthly",E22*N22*12,E22*N22*52)))</f>
        <v>0</v>
      </c>
      <c r="N22" s="56">
        <v>1</v>
      </c>
      <c r="O22" s="55"/>
      <c r="P22" s="57">
        <f>SUM(L22+M22)</f>
        <v>0</v>
      </c>
      <c r="Q22" s="35"/>
      <c r="R22" s="35"/>
      <c r="S22" s="52" t="s">
        <v>65</v>
      </c>
      <c r="T22" s="35"/>
      <c r="U22" s="49">
        <f>'Occupy borrower Affordability'!J44</f>
        <v>46.149999999999991</v>
      </c>
      <c r="V22" s="35"/>
      <c r="W22" s="35"/>
      <c r="X22" s="36"/>
      <c r="Y22" s="36"/>
      <c r="Z22" s="36"/>
      <c r="AA22" s="36"/>
      <c r="AB22" s="36"/>
      <c r="AC22" s="36"/>
    </row>
    <row r="23" spans="1:29">
      <c r="A23" s="29" t="s">
        <v>28</v>
      </c>
      <c r="B23" s="1012">
        <v>0</v>
      </c>
      <c r="C23" s="1013" t="s">
        <v>7</v>
      </c>
      <c r="D23" s="40"/>
      <c r="E23" s="1012">
        <v>0</v>
      </c>
      <c r="F23" s="1013" t="s">
        <v>7</v>
      </c>
      <c r="G23" s="34"/>
      <c r="K23" s="34"/>
      <c r="L23" s="55">
        <f>IF(C23="",0,IF(C23="Annually",B23*N23,IF(C23="Monthly",B23*N23*12,B23*N23*52)))</f>
        <v>0</v>
      </c>
      <c r="M23" s="55">
        <f>IF(F23="",0,IF(F23="Annually",E23*N23,IF(F23="Monthly",E23*N23*12,E23*N23*52)))</f>
        <v>0</v>
      </c>
      <c r="N23" s="56">
        <v>1</v>
      </c>
      <c r="O23" s="55"/>
      <c r="P23" s="57">
        <f>SUM(L23+M23)</f>
        <v>0</v>
      </c>
      <c r="Q23" s="35"/>
      <c r="R23" s="35"/>
      <c r="S23" s="52" t="s">
        <v>163</v>
      </c>
      <c r="T23" s="35"/>
      <c r="U23" s="49">
        <f>'Occupy borrower Affordability'!AL65</f>
        <v>82.333333333327005</v>
      </c>
      <c r="V23" s="35"/>
      <c r="W23" s="35"/>
      <c r="X23" s="36"/>
      <c r="Y23" s="36"/>
      <c r="Z23" s="36"/>
      <c r="AA23" s="36"/>
      <c r="AB23" s="36"/>
      <c r="AC23" s="36"/>
    </row>
    <row r="24" spans="1:29">
      <c r="A24" s="54" t="s">
        <v>178</v>
      </c>
      <c r="D24" s="40"/>
      <c r="G24" s="34"/>
      <c r="K24" s="34"/>
      <c r="L24" s="55"/>
      <c r="M24" s="55"/>
      <c r="N24" s="55"/>
      <c r="O24" s="55"/>
      <c r="P24" s="58">
        <f>SUM(P21:P23)</f>
        <v>0</v>
      </c>
      <c r="Q24" s="749" t="s">
        <v>903</v>
      </c>
      <c r="R24" s="749"/>
      <c r="S24" s="36" t="s">
        <v>68</v>
      </c>
      <c r="T24" s="35"/>
      <c r="U24" s="49">
        <f>'Occupy borrower Affordability'!J51</f>
        <v>279.5</v>
      </c>
      <c r="V24" s="35"/>
      <c r="W24" s="35"/>
      <c r="X24" s="36"/>
      <c r="Y24" s="36"/>
      <c r="Z24" s="36"/>
      <c r="AA24" s="36"/>
      <c r="AB24" s="36"/>
      <c r="AC24" s="36"/>
    </row>
    <row r="25" spans="1:29">
      <c r="A25" s="29" t="s">
        <v>109</v>
      </c>
      <c r="B25" s="1012">
        <v>0</v>
      </c>
      <c r="C25" s="1013" t="s">
        <v>7</v>
      </c>
      <c r="D25" s="40"/>
      <c r="E25" s="1012">
        <v>0</v>
      </c>
      <c r="F25" s="1013" t="s">
        <v>7</v>
      </c>
      <c r="G25" s="34"/>
      <c r="K25" s="34"/>
      <c r="L25" s="746">
        <f>IF(C25="",0,IF(C25="Annually",B25*N25,IF(C25="Monthly",B25*N25*12,B25*N25*52)))</f>
        <v>0</v>
      </c>
      <c r="M25" s="746">
        <f>IF(F25="",0,IF(F25="Annually",E25*N25,IF(F25="Monthly",E25*N25*12,E25*N25*52)))</f>
        <v>0</v>
      </c>
      <c r="N25" s="747">
        <v>1</v>
      </c>
      <c r="O25" s="746"/>
      <c r="P25" s="748">
        <f>SUM(L25+M25)</f>
        <v>0</v>
      </c>
      <c r="Q25" s="35"/>
      <c r="R25" s="35"/>
      <c r="S25" s="52" t="s">
        <v>151</v>
      </c>
      <c r="T25" s="35"/>
      <c r="U25" s="49">
        <f>'Occupy borrower Affordability'!J53</f>
        <v>0</v>
      </c>
      <c r="V25" s="35"/>
      <c r="W25" s="35"/>
      <c r="X25" s="36"/>
      <c r="Y25" s="36"/>
      <c r="Z25" s="36"/>
      <c r="AA25" s="36"/>
      <c r="AB25" s="36"/>
      <c r="AC25" s="36"/>
    </row>
    <row r="26" spans="1:29">
      <c r="A26" s="29" t="s">
        <v>556</v>
      </c>
      <c r="B26" s="1012">
        <v>0</v>
      </c>
      <c r="C26" s="1013" t="s">
        <v>7</v>
      </c>
      <c r="D26" s="40"/>
      <c r="E26" s="1012">
        <v>0</v>
      </c>
      <c r="F26" s="1013" t="s">
        <v>7</v>
      </c>
      <c r="G26" s="34"/>
      <c r="K26" s="34"/>
      <c r="L26" s="746">
        <f>IF(C26="",0,IF(C26="Annually",B26*N26,IF(C26="Monthly",B26*N26*12,B26*N26*52)))</f>
        <v>0</v>
      </c>
      <c r="M26" s="746">
        <f>IF(F26="",0,IF(F26="Annually",E26*N26,IF(F26="Monthly",E26*N26*12,E26*N26*52)))</f>
        <v>0</v>
      </c>
      <c r="N26" s="747">
        <v>1</v>
      </c>
      <c r="O26" s="746"/>
      <c r="P26" s="748">
        <f>SUM(L26+M26)</f>
        <v>0</v>
      </c>
      <c r="Q26" s="35"/>
      <c r="R26" s="35"/>
      <c r="S26" s="36" t="s">
        <v>27</v>
      </c>
      <c r="T26" s="35"/>
      <c r="U26" s="49">
        <f>'Occupy borrower Affordability'!J56</f>
        <v>87.1</v>
      </c>
      <c r="V26" s="35"/>
      <c r="W26" s="35"/>
      <c r="X26" s="36"/>
      <c r="Y26" s="36"/>
      <c r="Z26" s="36"/>
      <c r="AA26" s="36"/>
      <c r="AB26" s="36"/>
      <c r="AC26" s="36"/>
    </row>
    <row r="27" spans="1:29">
      <c r="A27" s="47" t="s">
        <v>554</v>
      </c>
      <c r="G27" s="34"/>
      <c r="K27" s="34"/>
      <c r="L27" s="383"/>
      <c r="M27" s="383"/>
      <c r="N27" s="383"/>
      <c r="O27" s="749"/>
      <c r="P27" s="750">
        <f>SUM(P25:P26)</f>
        <v>0</v>
      </c>
      <c r="Q27" s="35"/>
      <c r="R27" s="35"/>
      <c r="S27" s="52" t="s">
        <v>123</v>
      </c>
      <c r="T27" s="35"/>
      <c r="U27" s="49">
        <f>'Occupy borrower Affordability'!J57</f>
        <v>162.71666666666664</v>
      </c>
      <c r="V27" s="35"/>
      <c r="W27" s="35"/>
      <c r="X27" s="36"/>
      <c r="Y27" s="36"/>
      <c r="Z27" s="36"/>
      <c r="AA27" s="36"/>
      <c r="AB27" s="36"/>
      <c r="AC27" s="36"/>
    </row>
    <row r="28" spans="1:29" ht="13.8" thickBot="1">
      <c r="A28" s="559" t="s">
        <v>880</v>
      </c>
      <c r="B28" s="1012">
        <v>0</v>
      </c>
      <c r="C28" s="34" t="s">
        <v>7</v>
      </c>
      <c r="E28" s="1012">
        <v>0</v>
      </c>
      <c r="F28" s="34" t="s">
        <v>7</v>
      </c>
      <c r="G28" s="737"/>
      <c r="L28" s="36">
        <f>IF(C28="",0,IF(C28="Annually",B28*N28,IF(C28="Monthly",B28*N28*12,B28*N28*52)))</f>
        <v>0</v>
      </c>
      <c r="M28" s="36">
        <f>IF(F28="",0,IF(F28="Annually",E28*N28,IF(F28="Monthly",E28*N28*12,E28*N28*52)))</f>
        <v>0</v>
      </c>
      <c r="N28" s="59">
        <v>1</v>
      </c>
      <c r="O28" s="35"/>
      <c r="P28" s="49">
        <f>SUM(L28+M28)</f>
        <v>0</v>
      </c>
      <c r="Q28" s="36"/>
      <c r="R28" s="35"/>
      <c r="S28" s="36"/>
      <c r="T28" s="35"/>
      <c r="U28" s="60" t="e">
        <f>SUM(U15:U27)</f>
        <v>#REF!</v>
      </c>
      <c r="V28" s="35"/>
      <c r="W28" s="35"/>
      <c r="X28" s="36"/>
      <c r="Y28" s="36"/>
      <c r="Z28" s="36"/>
      <c r="AA28" s="36"/>
      <c r="AB28" s="36"/>
      <c r="AC28" s="36"/>
    </row>
    <row r="29" spans="1:29" ht="13.8" thickTop="1">
      <c r="A29" s="559" t="s">
        <v>881</v>
      </c>
      <c r="B29" s="1012">
        <v>0</v>
      </c>
      <c r="C29" s="34" t="s">
        <v>7</v>
      </c>
      <c r="E29" s="1012">
        <v>0</v>
      </c>
      <c r="F29" s="34" t="s">
        <v>7</v>
      </c>
      <c r="G29" s="737"/>
      <c r="K29" s="34"/>
      <c r="L29" s="36">
        <f>IF(C29="",0,IF(C29="Annually",B29*N29,IF(C29="Monthly",B29*N29*12,B29*N29*52)))</f>
        <v>0</v>
      </c>
      <c r="M29" s="36">
        <f>IF(F29="",0,IF(F29="Annually",E29*N29,IF(F29="Monthly",E29*N29*12,E29*N29*52)))</f>
        <v>0</v>
      </c>
      <c r="N29" s="48">
        <v>0.5</v>
      </c>
      <c r="O29" s="36"/>
      <c r="P29" s="49">
        <f>SUM(L29+M29)</f>
        <v>0</v>
      </c>
      <c r="Q29" s="36"/>
      <c r="R29" s="35"/>
      <c r="S29" s="36"/>
      <c r="T29" s="35"/>
      <c r="U29" s="49"/>
      <c r="V29" s="35"/>
      <c r="W29" s="35"/>
      <c r="X29" s="36"/>
      <c r="Y29" s="36"/>
      <c r="Z29" s="36"/>
      <c r="AA29" s="36"/>
      <c r="AB29" s="36"/>
      <c r="AC29" s="36"/>
    </row>
    <row r="30" spans="1:29" ht="13.8" thickBot="1">
      <c r="A30" s="47" t="s">
        <v>489</v>
      </c>
      <c r="B30" s="61"/>
      <c r="C30" s="34"/>
      <c r="D30" s="34"/>
      <c r="E30" s="61"/>
      <c r="F30" s="34"/>
      <c r="K30" s="34"/>
      <c r="L30" s="35"/>
      <c r="M30" s="46" t="s">
        <v>533</v>
      </c>
      <c r="N30" s="48"/>
      <c r="O30" s="35"/>
      <c r="P30" s="62">
        <f>SUM(P17+P20+P24+P28+P29)-P27</f>
        <v>0</v>
      </c>
      <c r="Q30" s="63" t="s">
        <v>573</v>
      </c>
      <c r="R30" s="35"/>
      <c r="S30" s="35" t="s">
        <v>520</v>
      </c>
      <c r="T30" s="35"/>
      <c r="U30" s="49" t="e">
        <f>SUM(U28*12)</f>
        <v>#REF!</v>
      </c>
      <c r="V30" s="35"/>
      <c r="W30" s="35"/>
      <c r="X30" s="36"/>
      <c r="Y30" s="36"/>
      <c r="Z30" s="36"/>
      <c r="AA30" s="36"/>
      <c r="AB30" s="36"/>
      <c r="AC30" s="36"/>
    </row>
    <row r="31" spans="1:29" ht="13.8" thickTop="1">
      <c r="A31" s="40" t="s">
        <v>490</v>
      </c>
      <c r="B31" s="1012">
        <v>0</v>
      </c>
      <c r="C31" s="34" t="s">
        <v>7</v>
      </c>
      <c r="D31" s="34"/>
      <c r="E31" s="1012">
        <v>0</v>
      </c>
      <c r="F31" s="34" t="s">
        <v>7</v>
      </c>
      <c r="H31" s="66"/>
      <c r="I31" s="41"/>
      <c r="J31" s="41"/>
      <c r="K31" s="34"/>
      <c r="L31" s="35"/>
      <c r="M31" s="64">
        <f>SUM(B31+E31)*12</f>
        <v>0</v>
      </c>
      <c r="N31" s="35"/>
      <c r="O31" s="35"/>
      <c r="P31" s="35"/>
      <c r="Q31" s="35"/>
      <c r="R31" s="35"/>
      <c r="S31" s="35"/>
      <c r="T31" s="35"/>
      <c r="U31" s="35"/>
      <c r="V31" s="35"/>
      <c r="W31" s="35"/>
      <c r="X31" s="36"/>
      <c r="Y31" s="36"/>
      <c r="Z31" s="36"/>
      <c r="AA31" s="36"/>
      <c r="AB31" s="36"/>
      <c r="AC31" s="36"/>
    </row>
    <row r="32" spans="1:29">
      <c r="A32" s="40" t="s">
        <v>8</v>
      </c>
      <c r="B32" s="65">
        <f>SUM(I34*J34)</f>
        <v>0</v>
      </c>
      <c r="C32" s="34" t="s">
        <v>7</v>
      </c>
      <c r="D32" s="34"/>
      <c r="E32" s="65">
        <f>SUM(I35*J35)</f>
        <v>0</v>
      </c>
      <c r="F32" s="34" t="s">
        <v>7</v>
      </c>
      <c r="K32" s="41"/>
      <c r="L32" s="35"/>
      <c r="M32" s="64">
        <f>SUM(B32+E32)*12</f>
        <v>0</v>
      </c>
      <c r="N32" s="35"/>
      <c r="O32" s="35"/>
      <c r="P32" s="35"/>
      <c r="Q32" s="35"/>
      <c r="R32" s="35"/>
      <c r="S32" s="35"/>
      <c r="T32" s="35"/>
      <c r="U32" s="35"/>
      <c r="V32" s="35"/>
      <c r="W32" s="35"/>
      <c r="X32" s="36"/>
      <c r="Y32" s="36"/>
      <c r="Z32" s="36"/>
      <c r="AA32" s="36"/>
      <c r="AB32" s="36"/>
      <c r="AC32" s="36"/>
    </row>
    <row r="33" spans="1:29">
      <c r="A33" s="40" t="s">
        <v>563</v>
      </c>
      <c r="B33" s="1012">
        <v>0</v>
      </c>
      <c r="C33" s="34" t="s">
        <v>7</v>
      </c>
      <c r="D33" s="34"/>
      <c r="E33" s="1012">
        <v>0</v>
      </c>
      <c r="F33" s="34" t="s">
        <v>7</v>
      </c>
      <c r="H33" s="1174" t="s">
        <v>733</v>
      </c>
      <c r="I33" s="1165"/>
      <c r="J33" s="1165"/>
      <c r="K33" s="70"/>
      <c r="L33" s="35"/>
      <c r="M33" s="64">
        <f>SUM(B33+E33)*12</f>
        <v>0</v>
      </c>
      <c r="N33" s="35"/>
      <c r="O33" s="35"/>
      <c r="P33" s="35"/>
      <c r="Q33" s="35"/>
      <c r="R33" s="35"/>
      <c r="S33" s="35"/>
      <c r="T33" s="35"/>
      <c r="U33" s="35"/>
      <c r="V33" s="35"/>
      <c r="W33" s="35"/>
      <c r="X33" s="36"/>
      <c r="Y33" s="36"/>
      <c r="Z33" s="36"/>
      <c r="AA33" s="36"/>
      <c r="AB33" s="36"/>
      <c r="AC33" s="36"/>
    </row>
    <row r="34" spans="1:29">
      <c r="A34" s="40" t="s">
        <v>551</v>
      </c>
      <c r="B34" s="1012">
        <v>0</v>
      </c>
      <c r="C34" s="34" t="s">
        <v>7</v>
      </c>
      <c r="H34" s="68" t="s">
        <v>730</v>
      </c>
      <c r="I34" s="1014">
        <v>0</v>
      </c>
      <c r="J34" s="69">
        <v>0.03</v>
      </c>
      <c r="K34" s="72"/>
      <c r="L34" s="35"/>
      <c r="M34" s="64">
        <f>SUM(B34)*12</f>
        <v>0</v>
      </c>
      <c r="N34" s="35"/>
      <c r="O34" s="35"/>
      <c r="P34" s="35"/>
      <c r="Q34" s="35"/>
      <c r="R34" s="35"/>
      <c r="S34" s="35"/>
      <c r="T34" s="35"/>
      <c r="U34" s="35"/>
      <c r="V34" s="35"/>
      <c r="W34" s="35"/>
      <c r="X34" s="36"/>
      <c r="Y34" s="36"/>
      <c r="Z34" s="36"/>
      <c r="AA34" s="36"/>
      <c r="AB34" s="36"/>
      <c r="AC34" s="36"/>
    </row>
    <row r="35" spans="1:29">
      <c r="A35" s="40" t="s">
        <v>235</v>
      </c>
      <c r="B35" s="1012">
        <v>0</v>
      </c>
      <c r="C35" s="34" t="s">
        <v>7</v>
      </c>
      <c r="D35" s="40"/>
      <c r="H35" s="67" t="s">
        <v>731</v>
      </c>
      <c r="I35" s="1015">
        <v>0</v>
      </c>
      <c r="J35" s="71">
        <v>0.03</v>
      </c>
      <c r="K35" s="34"/>
      <c r="L35" s="35"/>
      <c r="M35" s="64">
        <f>SUM(B35)*12</f>
        <v>0</v>
      </c>
      <c r="N35" s="35"/>
      <c r="O35" s="35"/>
      <c r="P35" s="46" t="s">
        <v>738</v>
      </c>
      <c r="Q35" s="35"/>
      <c r="R35" s="35"/>
      <c r="S35" s="35"/>
      <c r="T35" s="35"/>
      <c r="U35" s="35"/>
      <c r="V35" s="35"/>
      <c r="W35" s="35"/>
      <c r="X35" s="36"/>
      <c r="Y35" s="36"/>
      <c r="Z35" s="36"/>
      <c r="AA35" s="36"/>
      <c r="AB35" s="36"/>
      <c r="AC35" s="36"/>
    </row>
    <row r="36" spans="1:29" ht="13.8" thickBot="1">
      <c r="K36" s="41"/>
      <c r="L36" s="35" t="s">
        <v>2</v>
      </c>
      <c r="M36" s="60">
        <f>SUM(M31:M35)</f>
        <v>0</v>
      </c>
      <c r="N36" s="63" t="s">
        <v>568</v>
      </c>
      <c r="O36" s="35"/>
      <c r="P36" s="35"/>
      <c r="Q36" s="35"/>
      <c r="R36" s="35" t="s">
        <v>26</v>
      </c>
      <c r="S36" s="35"/>
      <c r="T36" s="35"/>
      <c r="U36" s="35"/>
      <c r="V36" s="35"/>
      <c r="W36" s="35"/>
      <c r="X36" s="36"/>
      <c r="Y36" s="36"/>
      <c r="Z36" s="36"/>
      <c r="AA36" s="36"/>
      <c r="AB36" s="36"/>
      <c r="AC36" s="36"/>
    </row>
    <row r="37" spans="1:29" ht="13.8" thickTop="1">
      <c r="A37" s="74" t="str">
        <f>("Based on just the occupying borrower's income the maximum loan we would be able to consider on a repayment basis  is approximately £"&amp;ROUND(R39,2))</f>
        <v>Based on just the occupying borrower's income the maximum loan we would be able to consider on a repayment basis  is approximately £0</v>
      </c>
      <c r="F37" s="41"/>
      <c r="G37" s="70"/>
      <c r="K37" s="70"/>
      <c r="L37" s="36"/>
      <c r="M37" s="36"/>
      <c r="N37" s="35"/>
      <c r="O37" s="35"/>
      <c r="P37" s="35" t="s">
        <v>491</v>
      </c>
      <c r="Q37" s="35"/>
      <c r="R37" s="75">
        <v>4.5</v>
      </c>
      <c r="S37" s="35"/>
      <c r="T37" s="35"/>
      <c r="U37" s="35"/>
      <c r="V37" s="35"/>
      <c r="W37" s="35"/>
      <c r="X37" s="36"/>
      <c r="Y37" s="36"/>
      <c r="Z37" s="36"/>
      <c r="AA37" s="36"/>
      <c r="AB37" s="36"/>
      <c r="AC37" s="36"/>
    </row>
    <row r="38" spans="1:29">
      <c r="J38" s="72"/>
      <c r="K38" s="72"/>
      <c r="L38" s="36"/>
      <c r="M38" s="36"/>
      <c r="N38" s="36"/>
      <c r="O38" s="35"/>
      <c r="P38" s="35"/>
      <c r="Q38" s="35"/>
      <c r="R38" s="35"/>
      <c r="S38" s="35"/>
      <c r="T38" s="35"/>
      <c r="U38" s="35"/>
      <c r="V38" s="35"/>
      <c r="W38" s="35"/>
      <c r="X38" s="36"/>
      <c r="Y38" s="36"/>
      <c r="Z38" s="36"/>
      <c r="AA38" s="36"/>
      <c r="AB38" s="36"/>
      <c r="AC38" s="36"/>
    </row>
    <row r="39" spans="1:29">
      <c r="B39" s="1170" t="s">
        <v>720</v>
      </c>
      <c r="C39" s="1171"/>
      <c r="D39" s="40"/>
      <c r="E39" s="1170" t="s">
        <v>721</v>
      </c>
      <c r="F39" s="1171"/>
      <c r="K39" s="34"/>
      <c r="L39" s="36"/>
      <c r="M39" s="36"/>
      <c r="N39" s="36"/>
      <c r="O39" s="35"/>
      <c r="P39" s="35" t="s">
        <v>492</v>
      </c>
      <c r="Q39" s="35"/>
      <c r="R39" s="49">
        <f>IF(P30-M36&lt;=0,0,P30-M36)*R37</f>
        <v>0</v>
      </c>
      <c r="S39" s="35"/>
      <c r="T39" s="35"/>
      <c r="U39" s="35"/>
      <c r="V39" s="35"/>
      <c r="W39" s="35"/>
      <c r="X39" s="36"/>
      <c r="Y39" s="36"/>
      <c r="Z39" s="36"/>
      <c r="AA39" s="36"/>
      <c r="AB39" s="36"/>
      <c r="AC39" s="36"/>
    </row>
    <row r="40" spans="1:29">
      <c r="A40" s="40" t="s">
        <v>725</v>
      </c>
      <c r="B40" s="1166" t="s">
        <v>139</v>
      </c>
      <c r="C40" s="1167"/>
      <c r="D40" s="40"/>
      <c r="E40" s="1166" t="s">
        <v>139</v>
      </c>
      <c r="F40" s="1167"/>
      <c r="J40" s="40" t="s">
        <v>26</v>
      </c>
      <c r="K40" s="34"/>
      <c r="L40" s="36"/>
      <c r="M40" s="36"/>
      <c r="N40" s="36"/>
      <c r="O40" s="35"/>
      <c r="P40" s="35"/>
      <c r="Q40" s="35"/>
      <c r="R40" s="49"/>
      <c r="S40" s="35"/>
      <c r="T40" s="35"/>
      <c r="U40" s="35"/>
      <c r="V40" s="35"/>
      <c r="W40" s="35"/>
      <c r="X40" s="36"/>
      <c r="Y40" s="36"/>
      <c r="Z40" s="36"/>
      <c r="AA40" s="36"/>
      <c r="AB40" s="36"/>
      <c r="AC40" s="36"/>
    </row>
    <row r="41" spans="1:29">
      <c r="A41" s="34"/>
      <c r="G41" s="34"/>
      <c r="K41" s="34"/>
      <c r="L41" s="35"/>
      <c r="M41" s="36"/>
      <c r="N41" s="49"/>
      <c r="O41" s="35"/>
      <c r="P41" s="49" t="s">
        <v>138</v>
      </c>
      <c r="Q41" s="76" t="s">
        <v>50</v>
      </c>
      <c r="R41" s="49"/>
      <c r="S41" s="35"/>
      <c r="T41" s="35"/>
      <c r="U41" s="35"/>
      <c r="V41" s="35"/>
      <c r="W41" s="35"/>
      <c r="X41" s="36"/>
      <c r="Y41" s="36"/>
      <c r="Z41" s="36"/>
      <c r="AA41" s="36"/>
      <c r="AB41" s="36"/>
      <c r="AC41" s="36"/>
    </row>
    <row r="42" spans="1:29">
      <c r="B42" s="27" t="s">
        <v>553</v>
      </c>
      <c r="C42" s="27" t="s">
        <v>229</v>
      </c>
      <c r="D42" s="34"/>
      <c r="E42" s="27" t="s">
        <v>553</v>
      </c>
      <c r="F42" s="27" t="s">
        <v>229</v>
      </c>
      <c r="K42" s="34"/>
      <c r="L42" s="35"/>
      <c r="M42" s="36"/>
      <c r="N42" s="36"/>
      <c r="O42" s="35"/>
      <c r="P42" s="49" t="s">
        <v>139</v>
      </c>
      <c r="Q42" s="76" t="s">
        <v>7</v>
      </c>
      <c r="R42" s="49"/>
      <c r="S42" s="35"/>
      <c r="T42" s="35"/>
      <c r="U42" s="35"/>
      <c r="V42" s="35"/>
      <c r="W42" s="35"/>
      <c r="X42" s="36"/>
      <c r="Y42" s="36"/>
      <c r="Z42" s="36"/>
      <c r="AA42" s="36"/>
      <c r="AB42" s="36"/>
      <c r="AC42" s="36"/>
    </row>
    <row r="43" spans="1:29">
      <c r="A43" s="37" t="s">
        <v>552</v>
      </c>
      <c r="B43" s="1011"/>
      <c r="C43" s="541"/>
      <c r="D43" s="40"/>
      <c r="E43" s="1011"/>
      <c r="F43" s="541"/>
      <c r="H43" s="43"/>
      <c r="J43" s="34"/>
      <c r="K43" s="34"/>
      <c r="L43" s="35"/>
      <c r="M43" s="36"/>
      <c r="N43" s="36"/>
      <c r="O43" s="35"/>
      <c r="P43" s="49" t="s">
        <v>380</v>
      </c>
      <c r="Q43" s="76" t="s">
        <v>13</v>
      </c>
      <c r="R43" s="35"/>
      <c r="S43" s="35"/>
      <c r="T43" s="35"/>
      <c r="U43" s="35"/>
      <c r="V43" s="35"/>
      <c r="W43" s="35"/>
      <c r="X43" s="36"/>
      <c r="Y43" s="36"/>
      <c r="Z43" s="36"/>
      <c r="AA43" s="36"/>
      <c r="AB43" s="36"/>
      <c r="AC43" s="36"/>
    </row>
    <row r="44" spans="1:29">
      <c r="H44" s="43" t="s">
        <v>723</v>
      </c>
      <c r="K44" s="34"/>
      <c r="L44" s="75" t="s">
        <v>674</v>
      </c>
      <c r="M44" s="77" t="s">
        <v>675</v>
      </c>
      <c r="N44" s="36"/>
      <c r="O44" s="35"/>
      <c r="P44" s="35"/>
      <c r="Q44" s="35"/>
      <c r="R44" s="35"/>
      <c r="S44" s="35"/>
      <c r="T44" s="35"/>
      <c r="U44" s="35"/>
      <c r="V44" s="35"/>
      <c r="W44" s="35"/>
      <c r="X44" s="36"/>
      <c r="Y44" s="36"/>
      <c r="Z44" s="36"/>
      <c r="AA44" s="36"/>
      <c r="AB44" s="36"/>
      <c r="AC44" s="36"/>
    </row>
    <row r="45" spans="1:29">
      <c r="B45" s="1175" t="s">
        <v>564</v>
      </c>
      <c r="C45" s="1176"/>
      <c r="D45" s="1176"/>
      <c r="E45" s="1176"/>
      <c r="F45" s="1177"/>
      <c r="G45" s="78"/>
      <c r="I45" s="78"/>
      <c r="J45" s="34"/>
      <c r="K45" s="34"/>
      <c r="L45" s="45" t="s">
        <v>52</v>
      </c>
      <c r="M45" s="45" t="s">
        <v>52</v>
      </c>
      <c r="N45" s="36"/>
      <c r="O45" s="75" t="s">
        <v>739</v>
      </c>
      <c r="P45" s="75" t="s">
        <v>740</v>
      </c>
      <c r="Q45" s="46" t="s">
        <v>741</v>
      </c>
      <c r="R45" s="35"/>
      <c r="S45" s="35"/>
      <c r="T45" s="35"/>
      <c r="U45" s="35"/>
      <c r="V45" s="35"/>
      <c r="W45" s="35"/>
      <c r="X45" s="36"/>
      <c r="Y45" s="36"/>
      <c r="Z45" s="36"/>
      <c r="AA45" s="36"/>
      <c r="AB45" s="36"/>
      <c r="AC45" s="36"/>
    </row>
    <row r="46" spans="1:29">
      <c r="A46" s="43" t="s">
        <v>555</v>
      </c>
      <c r="D46" s="40"/>
      <c r="H46" s="37" t="s">
        <v>71</v>
      </c>
      <c r="J46" s="541">
        <v>2</v>
      </c>
      <c r="K46" s="34"/>
      <c r="L46" s="45" t="s">
        <v>5</v>
      </c>
      <c r="M46" s="45" t="s">
        <v>5</v>
      </c>
      <c r="N46" s="35"/>
      <c r="O46" s="35" t="s">
        <v>676</v>
      </c>
      <c r="P46" s="35" t="s">
        <v>676</v>
      </c>
      <c r="Q46" s="35"/>
      <c r="R46" s="35"/>
      <c r="S46" s="35"/>
      <c r="T46" s="35"/>
      <c r="U46" s="35"/>
      <c r="V46" s="35"/>
      <c r="W46" s="35"/>
      <c r="X46" s="36"/>
      <c r="Y46" s="36"/>
      <c r="Z46" s="36"/>
      <c r="AA46" s="36"/>
      <c r="AB46" s="36"/>
      <c r="AC46" s="36"/>
    </row>
    <row r="47" spans="1:29">
      <c r="A47" s="29" t="s">
        <v>47</v>
      </c>
      <c r="B47" s="1012">
        <v>0</v>
      </c>
      <c r="C47" s="1013" t="s">
        <v>50</v>
      </c>
      <c r="D47" s="40"/>
      <c r="E47" s="1012">
        <v>0</v>
      </c>
      <c r="F47" s="1013" t="s">
        <v>50</v>
      </c>
      <c r="H47" s="37" t="s">
        <v>74</v>
      </c>
      <c r="J47" s="541">
        <v>0</v>
      </c>
      <c r="K47" s="34"/>
      <c r="L47" s="49">
        <f>IF(C47="",0,IF(C47="Annually",B47*N47,IF(C47="Monthly",B47*N47*12,B47*N47*52)))</f>
        <v>0</v>
      </c>
      <c r="M47" s="79">
        <f>IF(F47="",0,IF(F47="Annually",E47*N47,IF(F47="Monthly",E47*N47*12,E47*N47*52)))</f>
        <v>0</v>
      </c>
      <c r="N47" s="80">
        <v>1</v>
      </c>
      <c r="O47" s="35"/>
      <c r="P47" s="35"/>
      <c r="Q47" s="49">
        <f>SUM(L47+M47)</f>
        <v>0</v>
      </c>
      <c r="R47" s="35"/>
      <c r="S47" s="35"/>
      <c r="T47" s="35"/>
      <c r="U47" s="35"/>
      <c r="V47" s="35"/>
      <c r="W47" s="35"/>
      <c r="X47" s="36"/>
      <c r="Y47" s="36"/>
      <c r="Z47" s="36"/>
      <c r="AA47" s="36"/>
      <c r="AB47" s="36"/>
      <c r="AC47" s="36"/>
    </row>
    <row r="48" spans="1:29">
      <c r="A48" s="29" t="s">
        <v>33</v>
      </c>
      <c r="B48" s="1012">
        <v>0</v>
      </c>
      <c r="C48" s="1013" t="s">
        <v>50</v>
      </c>
      <c r="D48" s="40"/>
      <c r="E48" s="1012">
        <v>0</v>
      </c>
      <c r="F48" s="1013" t="s">
        <v>50</v>
      </c>
      <c r="K48" s="34"/>
      <c r="L48" s="49">
        <f>IF(C48="",0,IF(C48="Annually",B48*N48,IF(C48="Monthly",B48*N48*12,B48*N48*52)))</f>
        <v>0</v>
      </c>
      <c r="M48" s="79">
        <f>IF(F48="",0,IF(F48="Annually",E48*N48,IF(F48="Monthly",E48*N48*12,E48*N48*52)))</f>
        <v>0</v>
      </c>
      <c r="N48" s="80">
        <v>1</v>
      </c>
      <c r="O48" s="35"/>
      <c r="P48" s="35"/>
      <c r="Q48" s="49">
        <f>SUM(L48+M48)</f>
        <v>0</v>
      </c>
      <c r="R48" s="35"/>
      <c r="S48" s="35"/>
      <c r="T48" s="35"/>
      <c r="U48" s="35"/>
      <c r="V48" s="35"/>
      <c r="W48" s="35"/>
      <c r="X48" s="36"/>
      <c r="Y48" s="36"/>
      <c r="Z48" s="36"/>
      <c r="AA48" s="36"/>
      <c r="AB48" s="36"/>
      <c r="AC48" s="36"/>
    </row>
    <row r="49" spans="1:29">
      <c r="A49" s="29" t="s">
        <v>34</v>
      </c>
      <c r="B49" s="1012">
        <v>0</v>
      </c>
      <c r="C49" s="1013" t="s">
        <v>50</v>
      </c>
      <c r="D49" s="40"/>
      <c r="E49" s="1012">
        <v>0</v>
      </c>
      <c r="F49" s="1013" t="s">
        <v>50</v>
      </c>
      <c r="H49" s="1168" t="s">
        <v>515</v>
      </c>
      <c r="I49" s="1169"/>
      <c r="J49" s="1169"/>
      <c r="K49" s="34"/>
      <c r="L49" s="49">
        <f>IF(C49="",0,IF(C49="Annually",B49*N49,IF(C49="Monthly",B49*N49*12,B49*N49*52)))</f>
        <v>0</v>
      </c>
      <c r="M49" s="79">
        <f>IF(F49="",0,IF(F49="Annually",E49*N49,IF(F49="Monthly",E49*N49*12,E49*N49*52)))</f>
        <v>0</v>
      </c>
      <c r="N49" s="80">
        <v>1</v>
      </c>
      <c r="O49" s="35"/>
      <c r="P49" s="35"/>
      <c r="Q49" s="49">
        <f>SUM(L49+M49)</f>
        <v>0</v>
      </c>
      <c r="R49" s="35"/>
      <c r="S49" s="35"/>
      <c r="T49" s="35"/>
      <c r="U49" s="35"/>
      <c r="V49" s="35"/>
      <c r="W49" s="35"/>
      <c r="X49" s="36"/>
      <c r="Y49" s="36"/>
      <c r="Z49" s="36"/>
      <c r="AA49" s="36"/>
      <c r="AB49" s="36"/>
      <c r="AC49" s="36"/>
    </row>
    <row r="50" spans="1:29">
      <c r="A50" s="40" t="s">
        <v>550</v>
      </c>
      <c r="B50" s="1012">
        <v>0</v>
      </c>
      <c r="C50" s="1013" t="s">
        <v>50</v>
      </c>
      <c r="D50" s="40"/>
      <c r="E50" s="1012">
        <v>0</v>
      </c>
      <c r="F50" s="1013" t="s">
        <v>50</v>
      </c>
      <c r="G50" s="34"/>
      <c r="H50" s="1172" t="str">
        <f>'Support borrower Affordability'!H36</f>
        <v>2 adults and 0 children</v>
      </c>
      <c r="I50" s="1173"/>
      <c r="J50" s="1173"/>
      <c r="K50" s="34"/>
      <c r="L50" s="49">
        <f>IF(C50="",0,IF(C50="Annually",B50*N50,IF(C50="Monthly",B50*N50*12,B50*N50*52)))</f>
        <v>0</v>
      </c>
      <c r="M50" s="79">
        <f>IF(F50="",0,IF(F50="Annually",E50*N50,IF(F50="Monthly",E50*N50*12,E50*N50*52)))</f>
        <v>0</v>
      </c>
      <c r="N50" s="80">
        <v>1</v>
      </c>
      <c r="O50" s="35"/>
      <c r="P50" s="35"/>
      <c r="Q50" s="49">
        <f>SUM(L50+M50)</f>
        <v>0</v>
      </c>
      <c r="R50" s="35"/>
      <c r="S50" s="35"/>
      <c r="T50" s="35"/>
      <c r="U50" s="35"/>
      <c r="V50" s="35"/>
      <c r="W50" s="35"/>
      <c r="X50" s="36"/>
      <c r="Y50" s="36"/>
      <c r="Z50" s="36"/>
      <c r="AA50" s="36"/>
      <c r="AB50" s="36"/>
      <c r="AC50" s="36"/>
    </row>
    <row r="51" spans="1:29">
      <c r="A51" s="51" t="s">
        <v>562</v>
      </c>
      <c r="B51" s="1012">
        <v>0</v>
      </c>
      <c r="C51" s="1013" t="s">
        <v>50</v>
      </c>
      <c r="D51" s="40"/>
      <c r="E51" s="1012">
        <v>0</v>
      </c>
      <c r="F51" s="1013" t="s">
        <v>50</v>
      </c>
      <c r="G51" s="34"/>
      <c r="K51" s="34"/>
      <c r="L51" s="49">
        <f>IF(C51="",0,IF(C51="Annually",B51*N51,IF(C51="Monthly",B51*N51*12,B51*N51*52)))</f>
        <v>0</v>
      </c>
      <c r="M51" s="79">
        <f>IF(F51="",0,IF(F51="Annually",E51*N51,IF(F51="Monthly",E51*N51*12,E51*N51*52)))</f>
        <v>0</v>
      </c>
      <c r="N51" s="80">
        <v>0.5</v>
      </c>
      <c r="O51" s="35"/>
      <c r="P51" s="35"/>
      <c r="Q51" s="49">
        <f>SUM(L51+M51)</f>
        <v>0</v>
      </c>
      <c r="R51" s="35"/>
      <c r="S51" s="35"/>
      <c r="T51" s="35"/>
      <c r="U51" s="35"/>
      <c r="V51" s="35"/>
      <c r="W51" s="35"/>
      <c r="X51" s="36"/>
      <c r="Y51" s="36"/>
      <c r="Z51" s="36"/>
      <c r="AA51" s="36"/>
      <c r="AB51" s="36"/>
      <c r="AC51" s="36"/>
    </row>
    <row r="52" spans="1:29">
      <c r="A52" s="47" t="s">
        <v>560</v>
      </c>
      <c r="B52" s="30"/>
      <c r="C52" s="30"/>
      <c r="D52" s="30"/>
      <c r="E52" s="30"/>
      <c r="F52" s="30"/>
      <c r="G52" s="34"/>
      <c r="K52" s="34"/>
      <c r="L52" s="36"/>
      <c r="M52" s="36"/>
      <c r="N52" s="81"/>
      <c r="O52" s="35"/>
      <c r="P52" s="35"/>
      <c r="Q52" s="49"/>
      <c r="R52" s="35"/>
      <c r="S52" s="35"/>
      <c r="T52" s="35"/>
      <c r="U52" s="35"/>
      <c r="V52" s="35"/>
      <c r="W52" s="35"/>
      <c r="X52" s="36"/>
      <c r="Y52" s="36"/>
      <c r="Z52" s="36"/>
      <c r="AA52" s="36"/>
      <c r="AB52" s="36"/>
      <c r="AC52" s="36"/>
    </row>
    <row r="53" spans="1:29">
      <c r="A53" s="29" t="s">
        <v>133</v>
      </c>
      <c r="B53" s="1012">
        <v>0</v>
      </c>
      <c r="C53" s="1013" t="s">
        <v>50</v>
      </c>
      <c r="D53" s="40"/>
      <c r="E53" s="1012">
        <v>0</v>
      </c>
      <c r="F53" s="1013" t="s">
        <v>50</v>
      </c>
      <c r="H53" s="82"/>
      <c r="K53" s="34"/>
      <c r="L53" s="49">
        <f>IF(C53="",0,IF(C53="Annually",B53*N60,IF(C53="Monthly",B53*N60*12,B53*N60*52)))</f>
        <v>0</v>
      </c>
      <c r="M53" s="79">
        <f>IF(F53="",0,IF(F53="Annually",E53*N60,IF(F53="Monthly",E53*N60*12,E53*N60*52)))</f>
        <v>0</v>
      </c>
      <c r="N53" s="80">
        <v>1</v>
      </c>
      <c r="O53" s="35"/>
      <c r="P53" s="35"/>
      <c r="Q53" s="49">
        <f>SUM(L53+M53)</f>
        <v>0</v>
      </c>
      <c r="R53" s="35"/>
      <c r="S53" s="46" t="s">
        <v>742</v>
      </c>
      <c r="T53" s="35"/>
      <c r="U53" s="35"/>
      <c r="V53" s="35"/>
      <c r="W53" s="35"/>
      <c r="X53" s="36"/>
      <c r="Y53" s="36"/>
      <c r="Z53" s="36"/>
      <c r="AA53" s="36"/>
      <c r="AB53" s="36"/>
      <c r="AC53" s="36"/>
    </row>
    <row r="54" spans="1:29">
      <c r="A54" s="29" t="s">
        <v>134</v>
      </c>
      <c r="B54" s="1012">
        <v>0</v>
      </c>
      <c r="C54" s="1013" t="s">
        <v>50</v>
      </c>
      <c r="D54" s="40"/>
      <c r="E54" s="1012">
        <v>0</v>
      </c>
      <c r="F54" s="1013" t="s">
        <v>50</v>
      </c>
      <c r="K54" s="34"/>
      <c r="L54" s="49">
        <f>IF(C54="",0,IF(C54="Annually",B54*N61,IF(C54="Monthly",B54*N61*12,B54*N61*52)))</f>
        <v>0</v>
      </c>
      <c r="M54" s="79">
        <f>IF(F54="",0,IF(F54="Annually",E54*N61,IF(F54="Monthly",E54*N61*12,E54*N61*52)))</f>
        <v>0</v>
      </c>
      <c r="N54" s="80">
        <v>1</v>
      </c>
      <c r="O54" s="35"/>
      <c r="P54" s="35"/>
      <c r="Q54" s="49">
        <f>SUM(L54+M54)</f>
        <v>0</v>
      </c>
      <c r="R54" s="35"/>
      <c r="S54" s="35"/>
      <c r="T54" s="35"/>
      <c r="U54" s="35"/>
      <c r="V54" s="35"/>
      <c r="W54" s="35"/>
      <c r="X54" s="36"/>
      <c r="Y54" s="36"/>
      <c r="Z54" s="36"/>
      <c r="AA54" s="36"/>
      <c r="AB54" s="36"/>
      <c r="AC54" s="36"/>
    </row>
    <row r="55" spans="1:29" ht="13.8" thickBot="1">
      <c r="A55" s="54" t="s">
        <v>179</v>
      </c>
      <c r="B55" s="29"/>
      <c r="C55" s="29"/>
      <c r="D55" s="40"/>
      <c r="E55" s="29"/>
      <c r="F55" s="29"/>
      <c r="K55" s="34"/>
      <c r="L55" s="53">
        <f>SUM(L47:L54)</f>
        <v>0</v>
      </c>
      <c r="M55" s="83">
        <f>SUM(M47:M54)</f>
        <v>0</v>
      </c>
      <c r="N55" s="80"/>
      <c r="O55" s="60">
        <f>SUM(L47:L51,L53:L54)</f>
        <v>0</v>
      </c>
      <c r="P55" s="60">
        <f>SUM(M47:M51,M53:M54)</f>
        <v>0</v>
      </c>
      <c r="Q55" s="53">
        <f>SUM(Q47:Q54)</f>
        <v>0</v>
      </c>
      <c r="R55" s="35"/>
      <c r="S55" s="50" t="str">
        <f>H50</f>
        <v>2 adults and 0 children</v>
      </c>
      <c r="T55" s="35"/>
      <c r="U55" s="35"/>
      <c r="V55" s="35"/>
      <c r="W55" s="35"/>
      <c r="X55" s="36"/>
      <c r="Y55" s="36"/>
      <c r="Z55" s="36"/>
      <c r="AA55" s="36"/>
      <c r="AB55" s="36"/>
      <c r="AC55" s="36"/>
    </row>
    <row r="56" spans="1:29" ht="13.8" thickTop="1">
      <c r="A56" s="738" t="s">
        <v>180</v>
      </c>
      <c r="B56" s="1012">
        <v>0</v>
      </c>
      <c r="C56" s="1013" t="s">
        <v>7</v>
      </c>
      <c r="D56" s="40"/>
      <c r="E56" s="1012">
        <v>0</v>
      </c>
      <c r="F56" s="1013" t="s">
        <v>7</v>
      </c>
      <c r="K56" s="34"/>
      <c r="L56" s="84">
        <f>IF(C56="",0,IF(C56="Annually",B56*N56,IF(C56="Monthly",B56*N56*12,B56*N56*52)))</f>
        <v>0</v>
      </c>
      <c r="M56" s="84">
        <f>IF(F56="",0,IF(F56="Annually",E56*N56,IF(F56="Monthly",E56*N56*12,E56*N56*52)))</f>
        <v>0</v>
      </c>
      <c r="N56" s="85">
        <v>1</v>
      </c>
      <c r="O56" s="35"/>
      <c r="P56" s="35"/>
      <c r="Q56" s="84">
        <f>SUM(L56+M56)</f>
        <v>0</v>
      </c>
      <c r="R56" s="35"/>
      <c r="S56" s="35"/>
      <c r="T56" s="35"/>
      <c r="U56" s="35"/>
      <c r="V56" s="35"/>
      <c r="W56" s="35"/>
      <c r="X56" s="36"/>
      <c r="Y56" s="36"/>
      <c r="Z56" s="36"/>
      <c r="AA56" s="36"/>
      <c r="AB56" s="36"/>
      <c r="AC56" s="36"/>
    </row>
    <row r="57" spans="1:29">
      <c r="A57" s="738" t="s">
        <v>110</v>
      </c>
      <c r="B57" s="1012">
        <v>0</v>
      </c>
      <c r="C57" s="1013" t="s">
        <v>7</v>
      </c>
      <c r="D57" s="40"/>
      <c r="E57" s="1012">
        <v>0</v>
      </c>
      <c r="F57" s="1013" t="s">
        <v>7</v>
      </c>
      <c r="K57" s="34"/>
      <c r="L57" s="84">
        <f>IF(C57="",0,IF(C57="Annually",B57*N57,IF(C57="Monthly",B57*N57*12,B57*N57*52)))</f>
        <v>0</v>
      </c>
      <c r="M57" s="84">
        <f>IF(F57="",0,IF(F57="Annually",E57*N57,IF(F57="Monthly",E57*N57*12,E57*N57*52)))</f>
        <v>0</v>
      </c>
      <c r="N57" s="85">
        <v>1</v>
      </c>
      <c r="O57" s="35"/>
      <c r="P57" s="35"/>
      <c r="Q57" s="84">
        <f>SUM(L57+M57)</f>
        <v>0</v>
      </c>
      <c r="R57" s="35"/>
      <c r="S57" s="36" t="s">
        <v>91</v>
      </c>
      <c r="T57" s="35"/>
      <c r="U57" s="49">
        <f>'Support borrower Affordability'!J38</f>
        <v>263.0333333333333</v>
      </c>
      <c r="V57" s="36"/>
      <c r="W57" s="35"/>
      <c r="X57" s="36"/>
      <c r="Y57" s="36"/>
      <c r="Z57" s="36"/>
      <c r="AA57" s="36"/>
      <c r="AB57" s="36"/>
      <c r="AC57" s="36"/>
    </row>
    <row r="58" spans="1:29">
      <c r="A58" s="738" t="s">
        <v>28</v>
      </c>
      <c r="B58" s="1012">
        <v>0</v>
      </c>
      <c r="C58" s="1013" t="s">
        <v>7</v>
      </c>
      <c r="D58" s="40"/>
      <c r="E58" s="1012">
        <v>0</v>
      </c>
      <c r="F58" s="1013" t="s">
        <v>7</v>
      </c>
      <c r="G58" s="40" t="s">
        <v>26</v>
      </c>
      <c r="K58" s="34"/>
      <c r="L58" s="84">
        <f>IF(C58="",0,IF(C58="Annually",B58*N58,IF(C58="Monthly",B58*N58*12,B58*N58*52)))</f>
        <v>0</v>
      </c>
      <c r="M58" s="84">
        <f>IF(F58="",0,IF(F58="Annually",E58*N58,IF(F58="Monthly",E58*N58*12,E58*N58*52)))</f>
        <v>0</v>
      </c>
      <c r="N58" s="85">
        <v>1</v>
      </c>
      <c r="O58" s="35"/>
      <c r="P58" s="35"/>
      <c r="Q58" s="84">
        <f>SUM(L58+M58)</f>
        <v>0</v>
      </c>
      <c r="R58" s="35"/>
      <c r="S58" s="52" t="s">
        <v>111</v>
      </c>
      <c r="T58" s="35"/>
      <c r="U58" s="49">
        <f>'Support borrower Affordability'!J39</f>
        <v>145.42016666666666</v>
      </c>
      <c r="V58" s="52"/>
      <c r="W58" s="35"/>
      <c r="X58" s="36"/>
      <c r="Y58" s="36"/>
      <c r="Z58" s="36"/>
      <c r="AA58" s="36"/>
      <c r="AB58" s="36"/>
      <c r="AC58" s="36"/>
    </row>
    <row r="59" spans="1:29" ht="13.2" customHeight="1">
      <c r="A59" s="54" t="s">
        <v>178</v>
      </c>
      <c r="D59" s="40"/>
      <c r="H59" s="1178" t="s">
        <v>775</v>
      </c>
      <c r="I59" s="1179"/>
      <c r="J59" s="1180"/>
      <c r="K59" s="34"/>
      <c r="L59" s="57"/>
      <c r="M59" s="57"/>
      <c r="N59" s="86"/>
      <c r="O59" s="35" t="s">
        <v>26</v>
      </c>
      <c r="P59" s="35"/>
      <c r="Q59" s="87">
        <f>SUM(Q56:Q58)</f>
        <v>0</v>
      </c>
      <c r="R59" s="35"/>
      <c r="S59" s="52" t="s">
        <v>113</v>
      </c>
      <c r="T59" s="35"/>
      <c r="U59" s="49" t="e">
        <f>'Support borrower Affordability'!#REF!</f>
        <v>#REF!</v>
      </c>
      <c r="V59" s="52"/>
      <c r="W59" s="35"/>
      <c r="X59" s="36"/>
      <c r="Y59" s="36"/>
      <c r="Z59" s="36"/>
      <c r="AA59" s="36"/>
      <c r="AB59" s="36"/>
      <c r="AC59" s="36"/>
    </row>
    <row r="60" spans="1:29">
      <c r="A60" s="738" t="s">
        <v>109</v>
      </c>
      <c r="B60" s="1012">
        <v>0</v>
      </c>
      <c r="C60" s="1013" t="s">
        <v>7</v>
      </c>
      <c r="D60" s="40"/>
      <c r="E60" s="1012">
        <v>0</v>
      </c>
      <c r="F60" s="1013" t="s">
        <v>7</v>
      </c>
      <c r="H60" s="1181"/>
      <c r="I60" s="1182"/>
      <c r="J60" s="1183"/>
      <c r="K60" s="34"/>
      <c r="L60" s="57">
        <f>IF(C60="",0,IF(C60="Annually",B60*N60,IF(C60="Monthly",B60*N60*12,B60*N60*52)))</f>
        <v>0</v>
      </c>
      <c r="M60" s="57">
        <f>IF(F60="",0,IF(F60="Annually",E60*N60,IF(F60="Monthly",E60*N60*12,E60*N60*52)))</f>
        <v>0</v>
      </c>
      <c r="N60" s="88">
        <v>1</v>
      </c>
      <c r="O60" s="35"/>
      <c r="P60" s="35"/>
      <c r="Q60" s="57">
        <f>SUM(L60+M60)</f>
        <v>0</v>
      </c>
      <c r="R60" s="35"/>
      <c r="S60" s="52" t="s">
        <v>112</v>
      </c>
      <c r="T60" s="35"/>
      <c r="U60" s="49" t="e">
        <f>'Support borrower Affordability'!#REF!</f>
        <v>#REF!</v>
      </c>
      <c r="V60" s="36"/>
      <c r="W60" s="35"/>
      <c r="X60" s="36"/>
      <c r="Y60" s="36"/>
      <c r="Z60" s="36"/>
      <c r="AA60" s="36"/>
      <c r="AB60" s="36"/>
      <c r="AC60" s="36"/>
    </row>
    <row r="61" spans="1:29">
      <c r="A61" s="738" t="s">
        <v>556</v>
      </c>
      <c r="B61" s="1012">
        <v>0</v>
      </c>
      <c r="C61" s="1013" t="s">
        <v>7</v>
      </c>
      <c r="D61" s="40"/>
      <c r="E61" s="1012">
        <v>0</v>
      </c>
      <c r="F61" s="1013" t="s">
        <v>7</v>
      </c>
      <c r="G61" s="34"/>
      <c r="I61" s="172" t="s">
        <v>574</v>
      </c>
      <c r="K61" s="34"/>
      <c r="L61" s="57">
        <f>IF(C61="",0,IF(C61="Annually",B61*N61,IF(C61="Monthly",B61*N61*12,B61*N61*52)))</f>
        <v>0</v>
      </c>
      <c r="M61" s="57">
        <f>IF(F61="",0,IF(F61="Annually",E61*N61,IF(F61="Monthly",E61*N61*12,E61*N61*52)))</f>
        <v>0</v>
      </c>
      <c r="N61" s="88">
        <v>1</v>
      </c>
      <c r="O61" s="35"/>
      <c r="P61" s="35"/>
      <c r="Q61" s="57">
        <f>SUM(L61+M61)</f>
        <v>0</v>
      </c>
      <c r="R61" s="35"/>
      <c r="S61" s="52" t="s">
        <v>114</v>
      </c>
      <c r="T61" s="35"/>
      <c r="U61" s="49">
        <f>'Support borrower Affordability'!J41</f>
        <v>0</v>
      </c>
      <c r="V61" s="52"/>
      <c r="W61" s="35"/>
      <c r="X61" s="36"/>
      <c r="Y61" s="36"/>
      <c r="Z61" s="36"/>
      <c r="AA61" s="36"/>
      <c r="AB61" s="36"/>
      <c r="AC61" s="36"/>
    </row>
    <row r="62" spans="1:29">
      <c r="A62" s="43" t="s">
        <v>554</v>
      </c>
      <c r="I62" s="1016">
        <v>0</v>
      </c>
      <c r="J62" s="66"/>
      <c r="L62" s="58">
        <f>SUM(L56:L61)</f>
        <v>0</v>
      </c>
      <c r="M62" s="58">
        <f>SUM(M56:M61)</f>
        <v>0</v>
      </c>
      <c r="N62" s="80"/>
      <c r="O62" s="35"/>
      <c r="P62" s="35"/>
      <c r="Q62" s="58">
        <f>SUM(Q60:Q61)</f>
        <v>0</v>
      </c>
      <c r="R62" s="35"/>
      <c r="S62" s="36" t="s">
        <v>84</v>
      </c>
      <c r="T62" s="35"/>
      <c r="U62" s="49">
        <f>'Support borrower Affordability'!J42</f>
        <v>98.583333333333343</v>
      </c>
      <c r="V62" s="36"/>
      <c r="W62" s="35"/>
      <c r="X62" s="36"/>
      <c r="Y62" s="36"/>
      <c r="Z62" s="36"/>
      <c r="AA62" s="36"/>
      <c r="AB62" s="36"/>
      <c r="AC62" s="36"/>
    </row>
    <row r="63" spans="1:29">
      <c r="A63" s="559" t="s">
        <v>880</v>
      </c>
      <c r="B63" s="1012">
        <v>0</v>
      </c>
      <c r="C63" s="34" t="s">
        <v>7</v>
      </c>
      <c r="E63" s="1012">
        <v>0</v>
      </c>
      <c r="F63" s="34" t="s">
        <v>7</v>
      </c>
      <c r="G63" s="737"/>
      <c r="I63" s="96" t="s">
        <v>777</v>
      </c>
      <c r="L63" s="49">
        <f>IF(C63="",0,IF(C63="Annually",B63*N63,IF(C63="Monthly",B63*N63*12,B63*N63*52)))</f>
        <v>0</v>
      </c>
      <c r="M63" s="79">
        <f>IF(F63="",0,IF(F63="Annually",E63*N63,IF(F63="Monthly",E63*N63*12,E63*N63*52)))</f>
        <v>0</v>
      </c>
      <c r="N63" s="80">
        <v>1</v>
      </c>
      <c r="O63" s="35"/>
      <c r="P63" s="35"/>
      <c r="Q63" s="84">
        <f>SUM(L63+M63)</f>
        <v>0</v>
      </c>
      <c r="R63" s="35"/>
      <c r="S63" s="52" t="s">
        <v>161</v>
      </c>
      <c r="T63" s="35"/>
      <c r="U63" s="49">
        <f>'Support borrower Affordability'!AK57</f>
        <v>185.4666666666524</v>
      </c>
      <c r="V63" s="52"/>
      <c r="W63" s="35"/>
      <c r="X63" s="36"/>
      <c r="Y63" s="36"/>
      <c r="Z63" s="36"/>
      <c r="AA63" s="36"/>
      <c r="AB63" s="36"/>
      <c r="AC63" s="36"/>
    </row>
    <row r="64" spans="1:29">
      <c r="A64" s="559" t="s">
        <v>881</v>
      </c>
      <c r="B64" s="1012">
        <v>0</v>
      </c>
      <c r="C64" s="34" t="s">
        <v>7</v>
      </c>
      <c r="E64" s="1012">
        <v>0</v>
      </c>
      <c r="F64" s="34" t="s">
        <v>7</v>
      </c>
      <c r="G64" s="737"/>
      <c r="I64" s="1017">
        <v>0</v>
      </c>
      <c r="J64" s="96"/>
      <c r="L64" s="49">
        <f>IF(C64="",0,IF(C64="Annually",B64*N64,IF(C64="Monthly",B64*N64*12,B64*N64*52)))</f>
        <v>0</v>
      </c>
      <c r="M64" s="79">
        <f>IF(F64="",0,IF(F64="Annually",E64*N64,IF(F64="Monthly",E64*N64*12,E64*N64*52)))</f>
        <v>0</v>
      </c>
      <c r="N64" s="80">
        <v>0.5</v>
      </c>
      <c r="O64" s="35"/>
      <c r="P64" s="35"/>
      <c r="Q64" s="84">
        <f>SUM(L64+M64)</f>
        <v>0</v>
      </c>
      <c r="R64" s="36"/>
      <c r="S64" s="52" t="s">
        <v>65</v>
      </c>
      <c r="T64" s="35"/>
      <c r="U64" s="49">
        <f>'Support borrower Affordability'!J46</f>
        <v>46.149999999999991</v>
      </c>
      <c r="V64" s="52"/>
      <c r="W64" s="35"/>
      <c r="X64" s="36"/>
      <c r="Y64" s="36"/>
      <c r="Z64" s="36"/>
      <c r="AA64" s="36"/>
      <c r="AB64" s="36"/>
      <c r="AC64" s="36"/>
    </row>
    <row r="65" spans="1:29" ht="13.8" thickBot="1">
      <c r="I65" s="73" t="s">
        <v>776</v>
      </c>
      <c r="L65" s="36"/>
      <c r="M65" s="79">
        <f>SUM(B67*12)</f>
        <v>0</v>
      </c>
      <c r="N65" s="36"/>
      <c r="O65" s="35"/>
      <c r="P65" s="35"/>
      <c r="Q65" s="62">
        <f>SUM(Q55+Q59-Q62+Q63+Q64)</f>
        <v>0</v>
      </c>
      <c r="R65" s="63" t="s">
        <v>573</v>
      </c>
      <c r="S65" s="52" t="s">
        <v>163</v>
      </c>
      <c r="T65" s="35"/>
      <c r="U65" s="49">
        <f>'Support borrower Affordability'!AK64</f>
        <v>82.333333333327005</v>
      </c>
      <c r="V65" s="52"/>
      <c r="W65" s="35"/>
      <c r="X65" s="36"/>
      <c r="Y65" s="36"/>
      <c r="Z65" s="36"/>
      <c r="AA65" s="36"/>
      <c r="AB65" s="36"/>
      <c r="AC65" s="36"/>
    </row>
    <row r="66" spans="1:29" ht="13.8" thickTop="1">
      <c r="A66" s="47" t="s">
        <v>489</v>
      </c>
      <c r="B66" s="89"/>
      <c r="C66" s="34"/>
      <c r="D66" s="40"/>
      <c r="E66" s="89"/>
      <c r="I66" s="1017" t="s">
        <v>197</v>
      </c>
      <c r="L66" s="36"/>
      <c r="M66" s="64">
        <f>SUM(B68+E68)*12</f>
        <v>0</v>
      </c>
      <c r="N66" s="36"/>
      <c r="O66" s="35" t="s">
        <v>197</v>
      </c>
      <c r="P66" s="36"/>
      <c r="Q66" s="36"/>
      <c r="R66" s="35"/>
      <c r="S66" s="36" t="s">
        <v>68</v>
      </c>
      <c r="T66" s="35"/>
      <c r="U66" s="49">
        <f>'Support borrower Affordability'!J53</f>
        <v>279.5</v>
      </c>
      <c r="V66" s="36"/>
      <c r="W66" s="35"/>
      <c r="X66" s="36"/>
      <c r="Y66" s="36"/>
      <c r="Z66" s="36"/>
      <c r="AA66" s="36"/>
      <c r="AB66" s="36"/>
      <c r="AC66" s="36"/>
    </row>
    <row r="67" spans="1:29" ht="13.95" customHeight="1">
      <c r="A67" s="40" t="s">
        <v>734</v>
      </c>
      <c r="B67" s="90">
        <f>IF(I66=O67,V78,IF(I66=O66,U78))</f>
        <v>0</v>
      </c>
      <c r="C67" s="34" t="s">
        <v>7</v>
      </c>
      <c r="E67" s="91" t="s">
        <v>859</v>
      </c>
      <c r="L67" s="36"/>
      <c r="M67" s="64">
        <f>SUM(B69+E69)*12</f>
        <v>0</v>
      </c>
      <c r="N67" s="36"/>
      <c r="O67" s="35" t="s">
        <v>172</v>
      </c>
      <c r="P67" s="79"/>
      <c r="Q67" s="36"/>
      <c r="R67" s="35"/>
      <c r="S67" s="52" t="s">
        <v>151</v>
      </c>
      <c r="T67" s="35"/>
      <c r="U67" s="49">
        <f>'Support borrower Affordability'!J55</f>
        <v>0</v>
      </c>
      <c r="V67" s="52"/>
      <c r="W67" s="35"/>
      <c r="X67" s="36"/>
      <c r="Y67" s="36"/>
      <c r="Z67" s="36"/>
      <c r="AA67" s="36"/>
      <c r="AB67" s="36"/>
      <c r="AC67" s="36"/>
    </row>
    <row r="68" spans="1:29">
      <c r="A68" s="40" t="s">
        <v>490</v>
      </c>
      <c r="B68" s="1016">
        <v>0</v>
      </c>
      <c r="C68" s="34" t="s">
        <v>7</v>
      </c>
      <c r="D68" s="34"/>
      <c r="E68" s="1016">
        <v>0</v>
      </c>
      <c r="F68" s="34" t="s">
        <v>7</v>
      </c>
      <c r="H68" s="1174" t="s">
        <v>732</v>
      </c>
      <c r="I68" s="1165"/>
      <c r="J68" s="1165"/>
      <c r="L68" s="36"/>
      <c r="M68" s="64">
        <f>SUM(B70+E70)*12</f>
        <v>0</v>
      </c>
      <c r="N68" s="36"/>
      <c r="O68" s="35"/>
      <c r="P68" s="36"/>
      <c r="Q68" s="36"/>
      <c r="R68" s="35"/>
      <c r="S68" s="36" t="s">
        <v>27</v>
      </c>
      <c r="T68" s="35"/>
      <c r="U68" s="49">
        <f>'Support borrower Affordability'!J58</f>
        <v>87.1</v>
      </c>
      <c r="V68" s="36"/>
      <c r="W68" s="35"/>
      <c r="X68" s="36"/>
      <c r="Y68" s="36"/>
      <c r="Z68" s="36"/>
      <c r="AA68" s="36"/>
      <c r="AB68" s="36"/>
      <c r="AC68" s="36"/>
    </row>
    <row r="69" spans="1:29">
      <c r="A69" s="40" t="s">
        <v>8</v>
      </c>
      <c r="B69" s="92">
        <f>SUM(I69*J69)</f>
        <v>0</v>
      </c>
      <c r="C69" s="34" t="s">
        <v>7</v>
      </c>
      <c r="D69" s="34"/>
      <c r="E69" s="92">
        <f>SUM(I70*J70)</f>
        <v>0</v>
      </c>
      <c r="F69" s="34" t="s">
        <v>7</v>
      </c>
      <c r="H69" s="39" t="s">
        <v>770</v>
      </c>
      <c r="I69" s="1015">
        <v>0</v>
      </c>
      <c r="J69" s="71">
        <v>0.03</v>
      </c>
      <c r="L69" s="36"/>
      <c r="M69" s="64">
        <f>SUM(B71)*12</f>
        <v>0</v>
      </c>
      <c r="N69" s="36"/>
      <c r="O69" s="35"/>
      <c r="P69" s="36"/>
      <c r="Q69" s="36"/>
      <c r="R69" s="35"/>
      <c r="S69" s="52" t="s">
        <v>123</v>
      </c>
      <c r="T69" s="35"/>
      <c r="U69" s="49">
        <f>'Support borrower Affordability'!J59</f>
        <v>162.71666666666664</v>
      </c>
      <c r="V69" s="52"/>
      <c r="W69" s="35"/>
      <c r="X69" s="36"/>
      <c r="Y69" s="36"/>
      <c r="Z69" s="36"/>
      <c r="AA69" s="36"/>
      <c r="AB69" s="36"/>
      <c r="AC69" s="36"/>
    </row>
    <row r="70" spans="1:29" ht="13.8" thickBot="1">
      <c r="A70" s="40" t="s">
        <v>563</v>
      </c>
      <c r="B70" s="1016">
        <v>0</v>
      </c>
      <c r="C70" s="34" t="s">
        <v>7</v>
      </c>
      <c r="D70" s="34"/>
      <c r="E70" s="1016">
        <v>0</v>
      </c>
      <c r="F70" s="34" t="s">
        <v>7</v>
      </c>
      <c r="H70" s="39" t="s">
        <v>771</v>
      </c>
      <c r="I70" s="1015">
        <v>0</v>
      </c>
      <c r="J70" s="71">
        <v>0.03</v>
      </c>
      <c r="K70" s="34"/>
      <c r="L70" s="35"/>
      <c r="M70" s="64">
        <f>SUM(B72)*12</f>
        <v>0</v>
      </c>
      <c r="N70" s="35"/>
      <c r="O70" s="35"/>
      <c r="P70" s="36"/>
      <c r="Q70" s="36"/>
      <c r="R70" s="35"/>
      <c r="S70" s="36"/>
      <c r="T70" s="36"/>
      <c r="U70" s="60" t="e">
        <f>SUM(U57:U69)</f>
        <v>#REF!</v>
      </c>
      <c r="V70" s="35"/>
      <c r="W70" s="35"/>
      <c r="X70" s="36"/>
      <c r="Y70" s="36"/>
      <c r="Z70" s="36"/>
      <c r="AA70" s="36"/>
      <c r="AB70" s="36"/>
      <c r="AC70" s="36"/>
    </row>
    <row r="71" spans="1:29" ht="13.8" thickTop="1">
      <c r="A71" s="40" t="s">
        <v>551</v>
      </c>
      <c r="B71" s="1016">
        <v>0</v>
      </c>
      <c r="C71" s="34" t="s">
        <v>7</v>
      </c>
      <c r="D71" s="34"/>
      <c r="K71" s="34"/>
      <c r="L71" s="36"/>
      <c r="M71" s="64"/>
      <c r="N71" s="36"/>
      <c r="O71" s="42"/>
      <c r="P71" s="36"/>
      <c r="Q71" s="36"/>
      <c r="R71" s="35"/>
      <c r="S71" s="35"/>
      <c r="T71" s="35"/>
      <c r="U71" s="36"/>
      <c r="V71" s="35"/>
      <c r="W71" s="35"/>
      <c r="X71" s="36"/>
      <c r="Y71" s="36"/>
      <c r="Z71" s="36"/>
      <c r="AA71" s="36"/>
      <c r="AB71" s="36"/>
      <c r="AC71" s="36"/>
    </row>
    <row r="72" spans="1:29" ht="13.8" thickBot="1">
      <c r="A72" s="40" t="s">
        <v>235</v>
      </c>
      <c r="B72" s="1016">
        <v>0</v>
      </c>
      <c r="C72" s="34" t="s">
        <v>7</v>
      </c>
      <c r="D72" s="34"/>
      <c r="K72" s="34"/>
      <c r="L72" s="35" t="s">
        <v>2</v>
      </c>
      <c r="M72" s="60">
        <f>SUM(M65:M70)</f>
        <v>0</v>
      </c>
      <c r="N72" s="52" t="s">
        <v>557</v>
      </c>
      <c r="O72" s="36"/>
      <c r="P72" s="36"/>
      <c r="Q72" s="35"/>
      <c r="R72" s="35"/>
      <c r="S72" s="35"/>
      <c r="T72" s="35"/>
      <c r="U72" s="35"/>
      <c r="V72" s="35"/>
      <c r="W72" s="35"/>
      <c r="X72" s="36"/>
      <c r="Y72" s="36"/>
      <c r="Z72" s="36"/>
      <c r="AA72" s="36"/>
      <c r="AB72" s="36"/>
      <c r="AC72" s="36"/>
    </row>
    <row r="73" spans="1:29" ht="13.8" thickTop="1">
      <c r="K73" s="34"/>
      <c r="L73" s="36"/>
      <c r="M73" s="93" t="s">
        <v>571</v>
      </c>
      <c r="N73" s="36"/>
      <c r="O73" s="36"/>
      <c r="P73" s="36"/>
      <c r="Q73" s="35"/>
      <c r="R73" s="35"/>
      <c r="S73" s="35" t="s">
        <v>520</v>
      </c>
      <c r="T73" s="35"/>
      <c r="U73" s="49" t="e">
        <f>SUM(U70*12)</f>
        <v>#REF!</v>
      </c>
      <c r="V73" s="35"/>
      <c r="W73" s="35"/>
      <c r="X73" s="36"/>
      <c r="Y73" s="36"/>
      <c r="Z73" s="36"/>
      <c r="AA73" s="36"/>
      <c r="AB73" s="36"/>
      <c r="AC73" s="36"/>
    </row>
    <row r="74" spans="1:29">
      <c r="D74" s="40"/>
      <c r="H74" s="34"/>
      <c r="K74" s="41"/>
      <c r="L74" s="36"/>
      <c r="M74" s="35"/>
      <c r="N74" s="36"/>
      <c r="O74" s="36"/>
      <c r="P74" s="36"/>
      <c r="Q74" s="35"/>
      <c r="R74" s="35"/>
      <c r="S74" s="35"/>
      <c r="T74" s="35"/>
      <c r="U74" s="35"/>
      <c r="V74" s="35"/>
      <c r="W74" s="35"/>
      <c r="X74" s="36"/>
      <c r="Y74" s="36"/>
      <c r="Z74" s="36"/>
      <c r="AA74" s="36"/>
      <c r="AB74" s="36"/>
      <c r="AC74" s="36"/>
    </row>
    <row r="75" spans="1:29">
      <c r="L75" s="36"/>
      <c r="M75" s="677" t="s">
        <v>743</v>
      </c>
      <c r="N75" s="666"/>
      <c r="O75" s="666"/>
      <c r="P75" s="666"/>
      <c r="Q75" s="667"/>
      <c r="R75" s="667"/>
      <c r="S75" s="667"/>
      <c r="T75" s="667"/>
      <c r="U75" s="667"/>
      <c r="V75" s="678"/>
      <c r="W75" s="35"/>
      <c r="X75" s="36"/>
      <c r="Y75" s="36"/>
      <c r="Z75" s="36"/>
      <c r="AA75" s="36"/>
      <c r="AB75" s="36"/>
      <c r="AC75" s="36"/>
    </row>
    <row r="76" spans="1:29">
      <c r="A76" s="1000" t="s">
        <v>886</v>
      </c>
      <c r="B76" s="1001" t="s">
        <v>887</v>
      </c>
      <c r="C76" s="1002"/>
      <c r="D76" s="1003" t="s">
        <v>886</v>
      </c>
      <c r="E76" s="1002"/>
      <c r="F76" s="1002"/>
      <c r="G76" s="740"/>
      <c r="H76" s="740"/>
      <c r="I76" s="1004" t="s">
        <v>887</v>
      </c>
      <c r="L76" s="36"/>
      <c r="M76" s="679"/>
      <c r="N76" s="127"/>
      <c r="O76" s="127"/>
      <c r="P76" s="127"/>
      <c r="Q76" s="120"/>
      <c r="R76" s="120"/>
      <c r="S76" s="120"/>
      <c r="T76" s="120"/>
      <c r="U76" s="120"/>
      <c r="V76" s="669"/>
      <c r="W76" s="35"/>
      <c r="X76" s="36"/>
      <c r="Y76" s="36"/>
      <c r="Z76" s="36"/>
      <c r="AA76" s="36"/>
      <c r="AB76" s="36"/>
      <c r="AC76" s="36"/>
    </row>
    <row r="77" spans="1:29">
      <c r="A77" s="1005" t="s">
        <v>888</v>
      </c>
      <c r="B77" s="1006">
        <v>1</v>
      </c>
      <c r="C77" s="1007"/>
      <c r="D77" s="1007" t="s">
        <v>889</v>
      </c>
      <c r="E77" s="1007"/>
      <c r="F77" s="1007"/>
      <c r="G77" s="739"/>
      <c r="H77" s="739"/>
      <c r="I77" s="1008">
        <v>1</v>
      </c>
      <c r="L77" s="36"/>
      <c r="M77" s="680" t="s">
        <v>744</v>
      </c>
      <c r="N77" s="120"/>
      <c r="O77" s="127"/>
      <c r="P77" s="127"/>
      <c r="Q77" s="120"/>
      <c r="R77" s="120"/>
      <c r="S77" s="120"/>
      <c r="T77" s="120"/>
      <c r="U77" s="674" t="s">
        <v>197</v>
      </c>
      <c r="V77" s="681" t="s">
        <v>172</v>
      </c>
      <c r="W77" s="35"/>
      <c r="X77" s="36"/>
      <c r="Y77" s="36"/>
      <c r="Z77" s="36"/>
      <c r="AA77" s="36"/>
      <c r="AB77" s="36"/>
      <c r="AC77" s="36"/>
    </row>
    <row r="78" spans="1:29">
      <c r="A78" s="1005" t="s">
        <v>19</v>
      </c>
      <c r="B78" s="1006">
        <v>1</v>
      </c>
      <c r="C78" s="1007"/>
      <c r="D78" s="1007" t="s">
        <v>890</v>
      </c>
      <c r="E78" s="1007"/>
      <c r="F78" s="1007"/>
      <c r="G78" s="739"/>
      <c r="H78" s="739"/>
      <c r="I78" s="1008">
        <v>1</v>
      </c>
      <c r="L78" s="36"/>
      <c r="M78" s="682">
        <f>SUM(B67)*12</f>
        <v>0</v>
      </c>
      <c r="N78" s="120" t="s">
        <v>745</v>
      </c>
      <c r="O78" s="127"/>
      <c r="P78" s="127"/>
      <c r="Q78" s="120"/>
      <c r="R78" s="120" t="s">
        <v>875</v>
      </c>
      <c r="S78" s="120"/>
      <c r="T78" s="120"/>
      <c r="U78" s="675">
        <f>IF(I64=0,0,M81)</f>
        <v>0</v>
      </c>
      <c r="V78" s="683">
        <f>SUM(I62*U83)/12</f>
        <v>0</v>
      </c>
      <c r="W78" s="35"/>
      <c r="X78" s="36"/>
      <c r="Y78" s="36"/>
      <c r="Z78" s="36"/>
      <c r="AA78" s="36"/>
      <c r="AB78" s="36"/>
      <c r="AC78" s="36"/>
    </row>
    <row r="79" spans="1:29">
      <c r="A79" s="1005" t="s">
        <v>891</v>
      </c>
      <c r="B79" s="1006">
        <v>0.5</v>
      </c>
      <c r="C79" s="1007"/>
      <c r="D79" s="1007" t="s">
        <v>892</v>
      </c>
      <c r="E79" s="1007"/>
      <c r="F79" s="1007"/>
      <c r="G79" s="739"/>
      <c r="H79" s="739"/>
      <c r="I79" s="1008">
        <v>0.5</v>
      </c>
      <c r="L79" s="36"/>
      <c r="M79" s="684"/>
      <c r="N79" s="127"/>
      <c r="O79" s="127"/>
      <c r="P79" s="127"/>
      <c r="Q79" s="120"/>
      <c r="R79" s="120"/>
      <c r="S79" s="120"/>
      <c r="T79" s="120"/>
      <c r="U79" s="120"/>
      <c r="V79" s="669"/>
      <c r="W79" s="35"/>
      <c r="X79" s="36"/>
      <c r="Y79" s="36"/>
      <c r="Z79" s="36"/>
      <c r="AA79" s="36"/>
      <c r="AB79" s="36"/>
      <c r="AC79" s="36"/>
    </row>
    <row r="80" spans="1:29">
      <c r="A80" s="1005" t="s">
        <v>893</v>
      </c>
      <c r="B80" s="1006">
        <v>0.5</v>
      </c>
      <c r="C80" s="1007"/>
      <c r="D80" s="1007" t="s">
        <v>894</v>
      </c>
      <c r="E80" s="1007"/>
      <c r="F80" s="1007"/>
      <c r="G80" s="739"/>
      <c r="H80" s="739"/>
      <c r="I80" s="1008">
        <v>1</v>
      </c>
      <c r="L80" s="36"/>
      <c r="M80" s="685" t="s">
        <v>860</v>
      </c>
      <c r="N80" s="127"/>
      <c r="O80" s="127"/>
      <c r="P80" s="127"/>
      <c r="Q80" s="120"/>
      <c r="R80" s="120"/>
      <c r="S80" s="120"/>
      <c r="T80" s="120"/>
      <c r="U80" s="120"/>
      <c r="V80" s="669"/>
      <c r="W80" s="35"/>
      <c r="X80" s="36"/>
      <c r="Y80" s="36"/>
      <c r="Z80" s="36"/>
      <c r="AA80" s="36"/>
      <c r="AB80" s="36"/>
      <c r="AC80" s="36"/>
    </row>
    <row r="81" spans="1:29">
      <c r="A81" s="1005" t="s">
        <v>895</v>
      </c>
      <c r="B81" s="1006">
        <v>0.5</v>
      </c>
      <c r="C81" s="1007"/>
      <c r="D81" s="1007" t="s">
        <v>896</v>
      </c>
      <c r="E81" s="1009"/>
      <c r="F81" s="1009"/>
      <c r="G81" s="739"/>
      <c r="H81" s="739"/>
      <c r="I81" s="1008">
        <v>0.5</v>
      </c>
      <c r="L81" s="36"/>
      <c r="M81" s="668" t="e">
        <f>PMT(U83/12,(I64)*12,-I62)</f>
        <v>#NUM!</v>
      </c>
      <c r="N81" s="127"/>
      <c r="O81" s="631"/>
      <c r="P81" s="127"/>
      <c r="Q81" s="120"/>
      <c r="R81" s="120" t="s">
        <v>493</v>
      </c>
      <c r="S81" s="120"/>
      <c r="T81" s="120"/>
      <c r="U81" s="675">
        <f>SUM(U78*12)</f>
        <v>0</v>
      </c>
      <c r="V81" s="683">
        <f>SUM(V78*12)</f>
        <v>0</v>
      </c>
      <c r="W81" s="35"/>
      <c r="X81" s="36"/>
      <c r="Y81" s="36"/>
      <c r="Z81" s="36"/>
      <c r="AA81" s="36"/>
      <c r="AB81" s="36"/>
      <c r="AC81" s="36"/>
    </row>
    <row r="82" spans="1:29">
      <c r="A82" s="1005" t="s">
        <v>897</v>
      </c>
      <c r="B82" s="1006">
        <v>0.5</v>
      </c>
      <c r="C82" s="1007"/>
      <c r="D82" s="1007" t="s">
        <v>898</v>
      </c>
      <c r="E82" s="1007"/>
      <c r="F82" s="1007"/>
      <c r="G82" s="739"/>
      <c r="H82" s="739"/>
      <c r="I82" s="1008">
        <v>1</v>
      </c>
      <c r="L82" s="36"/>
      <c r="M82" s="684"/>
      <c r="N82" s="127"/>
      <c r="O82" s="686" t="s">
        <v>542</v>
      </c>
      <c r="P82" s="687">
        <f>J19</f>
        <v>7.9399999999999998E-2</v>
      </c>
      <c r="Q82" s="120"/>
      <c r="R82" s="120"/>
      <c r="S82" s="120"/>
      <c r="T82" s="120"/>
      <c r="U82" s="120"/>
      <c r="V82" s="669"/>
      <c r="W82" s="35"/>
      <c r="X82" s="36"/>
      <c r="Y82" s="36"/>
      <c r="Z82" s="36"/>
      <c r="AA82" s="36"/>
      <c r="AB82" s="36"/>
      <c r="AC82" s="36"/>
    </row>
    <row r="83" spans="1:29">
      <c r="A83" s="1005" t="s">
        <v>899</v>
      </c>
      <c r="B83" s="1006">
        <v>1</v>
      </c>
      <c r="C83" s="1007"/>
      <c r="D83" s="1007" t="s">
        <v>900</v>
      </c>
      <c r="E83" s="1007"/>
      <c r="F83" s="1007"/>
      <c r="G83" s="739"/>
      <c r="H83" s="739"/>
      <c r="I83" s="1008">
        <v>0</v>
      </c>
      <c r="L83" s="36"/>
      <c r="M83" s="684"/>
      <c r="N83" s="127"/>
      <c r="O83" s="686" t="s">
        <v>457</v>
      </c>
      <c r="P83" s="687">
        <f>'Occupy borrower Affordability'!E72</f>
        <v>0</v>
      </c>
      <c r="Q83" s="120"/>
      <c r="R83" s="120"/>
      <c r="S83" s="120" t="s">
        <v>494</v>
      </c>
      <c r="T83" s="120"/>
      <c r="U83" s="676">
        <f>SUM(P82+1%)</f>
        <v>8.9399999999999993E-2</v>
      </c>
      <c r="V83" s="669"/>
      <c r="W83" s="35"/>
      <c r="X83" s="36"/>
      <c r="Y83" s="36"/>
      <c r="Z83" s="36"/>
      <c r="AA83" s="36"/>
      <c r="AB83" s="36"/>
      <c r="AC83" s="36"/>
    </row>
    <row r="84" spans="1:29">
      <c r="A84" s="741" t="s">
        <v>901</v>
      </c>
      <c r="B84" s="742">
        <v>1</v>
      </c>
      <c r="C84" s="743"/>
      <c r="D84" s="744" t="s">
        <v>902</v>
      </c>
      <c r="E84" s="743"/>
      <c r="F84" s="743"/>
      <c r="G84" s="743"/>
      <c r="H84" s="743"/>
      <c r="I84" s="745">
        <v>0.5</v>
      </c>
      <c r="L84" s="36"/>
      <c r="M84" s="670"/>
      <c r="N84" s="671"/>
      <c r="O84" s="671"/>
      <c r="P84" s="671"/>
      <c r="Q84" s="672"/>
      <c r="R84" s="672"/>
      <c r="S84" s="671"/>
      <c r="T84" s="671"/>
      <c r="U84" s="671"/>
      <c r="V84" s="673"/>
      <c r="W84" s="35"/>
      <c r="X84" s="36"/>
      <c r="Y84" s="36"/>
      <c r="Z84" s="36"/>
      <c r="AA84" s="36"/>
      <c r="AB84" s="36"/>
      <c r="AC84" s="36"/>
    </row>
    <row r="85" spans="1:29">
      <c r="L85" s="36"/>
      <c r="M85" s="35"/>
      <c r="N85" s="36"/>
      <c r="O85" s="36"/>
      <c r="P85" s="36"/>
      <c r="Q85" s="35"/>
      <c r="R85" s="35"/>
      <c r="S85" s="35"/>
      <c r="T85" s="35"/>
      <c r="U85" s="35" t="s">
        <v>26</v>
      </c>
      <c r="V85" s="35"/>
      <c r="W85" s="35"/>
      <c r="X85" s="36"/>
      <c r="Y85" s="36"/>
      <c r="Z85" s="36"/>
      <c r="AA85" s="36"/>
      <c r="AB85" s="36"/>
      <c r="AC85" s="36"/>
    </row>
    <row r="86" spans="1:29">
      <c r="L86" s="36"/>
      <c r="M86" s="36"/>
      <c r="N86" s="36"/>
      <c r="O86" s="35"/>
      <c r="P86" s="35"/>
      <c r="Q86" s="46" t="s">
        <v>746</v>
      </c>
      <c r="R86" s="35"/>
      <c r="S86" s="35"/>
      <c r="T86" s="35"/>
      <c r="U86" s="35"/>
      <c r="V86" s="46" t="s">
        <v>747</v>
      </c>
      <c r="W86" s="35"/>
      <c r="X86" s="35"/>
      <c r="Y86" s="35"/>
      <c r="Z86" s="36"/>
      <c r="AA86" s="35"/>
      <c r="AB86" s="36"/>
      <c r="AC86" s="36"/>
    </row>
    <row r="87" spans="1:29">
      <c r="L87" s="46"/>
      <c r="M87" s="35"/>
      <c r="N87" s="35"/>
      <c r="O87" s="35"/>
      <c r="P87" s="35"/>
      <c r="Q87" s="35"/>
      <c r="R87" s="35"/>
      <c r="S87" s="35" t="s">
        <v>26</v>
      </c>
      <c r="T87" s="35"/>
      <c r="U87" s="35"/>
      <c r="V87" s="35"/>
      <c r="W87" s="35"/>
      <c r="X87" s="35"/>
      <c r="Y87" s="35"/>
      <c r="Z87" s="35"/>
      <c r="AA87" s="35"/>
      <c r="AB87" s="36"/>
      <c r="AC87" s="36"/>
    </row>
    <row r="88" spans="1:29">
      <c r="L88" s="35"/>
      <c r="M88" s="35"/>
      <c r="N88" s="35"/>
      <c r="O88" s="35"/>
      <c r="P88" s="35"/>
      <c r="Q88" s="35" t="s">
        <v>491</v>
      </c>
      <c r="R88" s="35"/>
      <c r="S88" s="75">
        <v>4.5</v>
      </c>
      <c r="T88" s="35"/>
      <c r="U88" s="35"/>
      <c r="V88" s="35" t="s">
        <v>643</v>
      </c>
      <c r="W88" s="35"/>
      <c r="X88" s="49">
        <f>SUM(R39*4)</f>
        <v>0</v>
      </c>
      <c r="Y88" s="35" t="s">
        <v>497</v>
      </c>
      <c r="Z88" s="36"/>
      <c r="AA88" s="35"/>
      <c r="AB88" s="36"/>
      <c r="AC88" s="36"/>
    </row>
    <row r="89" spans="1:29">
      <c r="L89" s="35"/>
      <c r="M89" s="35"/>
      <c r="N89" s="35"/>
      <c r="O89" s="35"/>
      <c r="P89" s="35"/>
      <c r="Q89" s="35"/>
      <c r="R89" s="35"/>
      <c r="S89" s="35"/>
      <c r="T89" s="35"/>
      <c r="U89" s="35"/>
      <c r="V89" s="35"/>
      <c r="W89" s="35"/>
      <c r="X89" s="36"/>
      <c r="Y89" s="36"/>
      <c r="Z89" s="36"/>
      <c r="AA89" s="36"/>
      <c r="AB89" s="36"/>
      <c r="AC89" s="36"/>
    </row>
    <row r="90" spans="1:29">
      <c r="L90" s="100"/>
      <c r="M90" s="35"/>
      <c r="N90" s="35"/>
      <c r="O90" s="35"/>
      <c r="P90" s="35"/>
      <c r="Q90" s="35" t="s">
        <v>492</v>
      </c>
      <c r="R90" s="35"/>
      <c r="S90" s="49">
        <f>IF($P$30-$M$36+$Q$65-$M$72&lt;0,0,$P$30-$M$36+$Q$65-$M$72)*S88</f>
        <v>0</v>
      </c>
      <c r="T90" s="35"/>
      <c r="U90" s="35"/>
      <c r="V90" s="35" t="s">
        <v>492</v>
      </c>
      <c r="W90" s="35"/>
      <c r="X90" s="101">
        <f>MIN(S90,X88)</f>
        <v>0</v>
      </c>
      <c r="Y90" s="52" t="s">
        <v>668</v>
      </c>
      <c r="Z90" s="36"/>
      <c r="AA90" s="36"/>
      <c r="AB90" s="36"/>
      <c r="AC90" s="36"/>
    </row>
    <row r="91" spans="1:29">
      <c r="L91" s="35"/>
      <c r="M91" s="35"/>
      <c r="N91" s="35"/>
      <c r="O91" s="35"/>
      <c r="P91" s="35"/>
      <c r="Q91" s="35"/>
      <c r="R91" s="35"/>
      <c r="S91" s="35"/>
      <c r="T91" s="35"/>
      <c r="U91" s="35"/>
      <c r="V91" s="35"/>
      <c r="W91" s="35"/>
      <c r="X91" s="36"/>
      <c r="Y91" s="36"/>
      <c r="Z91" s="36"/>
      <c r="AA91" s="36"/>
      <c r="AB91" s="36"/>
      <c r="AC91" s="36"/>
    </row>
    <row r="92" spans="1:29">
      <c r="L92" s="35"/>
      <c r="M92" s="35"/>
      <c r="N92" s="35"/>
      <c r="O92" s="35"/>
      <c r="P92" s="35"/>
      <c r="Q92" s="35" t="s">
        <v>496</v>
      </c>
      <c r="R92" s="35"/>
      <c r="S92" s="103">
        <f>IF(R39&lt;=0,0,(R39/S90))</f>
        <v>0</v>
      </c>
      <c r="T92" s="35"/>
      <c r="U92" s="35"/>
      <c r="V92" s="35"/>
      <c r="W92" s="104" t="s">
        <v>663</v>
      </c>
      <c r="X92" s="105">
        <v>400000</v>
      </c>
      <c r="Y92" s="36"/>
      <c r="Z92" s="36"/>
      <c r="AA92" s="36"/>
      <c r="AB92" s="36"/>
      <c r="AC92" s="36"/>
    </row>
    <row r="93" spans="1:29">
      <c r="L93" s="100"/>
      <c r="M93" s="35"/>
      <c r="N93" s="49"/>
      <c r="O93" s="35"/>
      <c r="P93" s="35"/>
      <c r="Q93" s="35"/>
      <c r="R93" s="35"/>
      <c r="S93" s="35"/>
      <c r="T93" s="35"/>
      <c r="U93" s="35"/>
      <c r="V93" s="35"/>
      <c r="W93" s="36"/>
      <c r="X93" s="36"/>
      <c r="Y93" s="36"/>
      <c r="Z93" s="36"/>
      <c r="AA93" s="36"/>
      <c r="AB93" s="36"/>
      <c r="AC93" s="36"/>
    </row>
    <row r="94" spans="1:29">
      <c r="L94" s="35"/>
      <c r="M94" s="35"/>
      <c r="N94" s="35"/>
      <c r="O94" s="35"/>
      <c r="P94" s="35"/>
      <c r="Q94" s="35"/>
      <c r="R94" s="35"/>
      <c r="S94" s="35"/>
      <c r="T94" s="35"/>
      <c r="U94" s="35"/>
      <c r="V94" s="35"/>
      <c r="W94" s="35"/>
      <c r="X94" s="36"/>
      <c r="Y94" s="36"/>
      <c r="Z94" s="36"/>
      <c r="AA94" s="36"/>
      <c r="AB94" s="36"/>
      <c r="AC94" s="36"/>
    </row>
    <row r="95" spans="1:29">
      <c r="L95" s="35"/>
      <c r="M95" s="35"/>
      <c r="N95" s="35"/>
      <c r="O95" s="35"/>
      <c r="P95" s="35"/>
      <c r="Q95" s="35"/>
      <c r="R95" s="35"/>
      <c r="S95" s="35"/>
      <c r="T95" s="35"/>
      <c r="U95" s="35"/>
      <c r="V95" s="35"/>
      <c r="W95" s="35"/>
      <c r="X95" s="36"/>
      <c r="Y95" s="36"/>
      <c r="Z95" s="36"/>
      <c r="AA95" s="36"/>
      <c r="AB95" s="36"/>
      <c r="AC95" s="36"/>
    </row>
    <row r="96" spans="1:29">
      <c r="L96" s="36"/>
      <c r="M96" s="36"/>
      <c r="N96" s="36"/>
      <c r="O96" s="35"/>
      <c r="P96" s="35"/>
      <c r="Q96" s="46" t="s">
        <v>534</v>
      </c>
      <c r="R96" s="35"/>
      <c r="S96" s="35"/>
      <c r="T96" s="35"/>
      <c r="U96" s="35"/>
      <c r="V96" s="35"/>
      <c r="W96" s="35"/>
      <c r="X96" s="36"/>
      <c r="Y96" s="36"/>
      <c r="Z96" s="36"/>
      <c r="AA96" s="36"/>
      <c r="AB96" s="36"/>
      <c r="AC96" s="36"/>
    </row>
    <row r="97" spans="1:29">
      <c r="K97" s="34"/>
      <c r="L97" s="106" t="s">
        <v>535</v>
      </c>
      <c r="M97" s="107"/>
      <c r="N97" s="107"/>
      <c r="O97" s="107"/>
      <c r="P97" s="108"/>
      <c r="Q97" s="35" t="s">
        <v>506</v>
      </c>
      <c r="R97" s="35"/>
      <c r="S97" s="49" t="e">
        <f>'Occupy borrower Affordability'!O110</f>
        <v>#VALUE!</v>
      </c>
      <c r="T97" s="35"/>
      <c r="U97" s="35"/>
      <c r="V97" s="35"/>
      <c r="W97" s="35"/>
      <c r="X97" s="36"/>
      <c r="Y97" s="36"/>
      <c r="Z97" s="36"/>
      <c r="AA97" s="36"/>
      <c r="AB97" s="36"/>
      <c r="AC97" s="36"/>
    </row>
    <row r="98" spans="1:29">
      <c r="K98" s="34"/>
      <c r="L98" s="108"/>
      <c r="M98" s="108"/>
      <c r="N98" s="108"/>
      <c r="O98" s="108"/>
      <c r="P98" s="108"/>
      <c r="Q98" s="35" t="s">
        <v>507</v>
      </c>
      <c r="R98" s="35"/>
      <c r="S98" s="49">
        <f>IF($P$30-$M$36+$Q$65-$M$72&lt;0,0,$P$30-$M$36+$Q$65-$M$72)</f>
        <v>0</v>
      </c>
      <c r="T98" s="35"/>
      <c r="U98" s="35"/>
      <c r="V98" s="35"/>
      <c r="W98" s="35"/>
      <c r="X98" s="36"/>
      <c r="Y98" s="36"/>
      <c r="Z98" s="36"/>
      <c r="AA98" s="36"/>
      <c r="AB98" s="36"/>
      <c r="AC98" s="36"/>
    </row>
    <row r="99" spans="1:29">
      <c r="K99" s="34"/>
      <c r="L99" s="108" t="s">
        <v>748</v>
      </c>
      <c r="M99" s="108"/>
      <c r="N99" s="108"/>
      <c r="O99" s="109">
        <v>1.9900000000000001E-2</v>
      </c>
      <c r="P99" s="108"/>
      <c r="Q99" s="35" t="s">
        <v>508</v>
      </c>
      <c r="R99" s="35"/>
      <c r="S99" s="110" t="e">
        <f>SUM(S97/S98)</f>
        <v>#VALUE!</v>
      </c>
      <c r="T99" s="35"/>
      <c r="U99" s="35"/>
      <c r="V99" s="35"/>
      <c r="W99" s="35"/>
      <c r="X99" s="36"/>
      <c r="Y99" s="36"/>
      <c r="Z99" s="36"/>
      <c r="AA99" s="36"/>
      <c r="AB99" s="36"/>
      <c r="AC99" s="36"/>
    </row>
    <row r="100" spans="1:29">
      <c r="K100" s="34"/>
      <c r="L100" s="108"/>
      <c r="M100" s="108"/>
      <c r="N100" s="108"/>
      <c r="O100" s="108"/>
      <c r="P100" s="108"/>
      <c r="Q100" s="36"/>
      <c r="R100" s="36"/>
      <c r="S100" s="36"/>
      <c r="T100" s="35"/>
      <c r="U100" s="35"/>
      <c r="V100" s="35"/>
      <c r="W100" s="35"/>
      <c r="X100" s="36"/>
      <c r="Y100" s="36"/>
      <c r="Z100" s="36"/>
      <c r="AA100" s="36"/>
      <c r="AB100" s="36"/>
      <c r="AC100" s="36"/>
    </row>
    <row r="101" spans="1:29">
      <c r="L101" s="108" t="s">
        <v>498</v>
      </c>
      <c r="M101" s="108"/>
      <c r="N101" s="108"/>
      <c r="O101" s="111">
        <f>IF(I62=0,0,#REF!)</f>
        <v>0</v>
      </c>
      <c r="P101" s="108"/>
      <c r="Q101" s="36"/>
      <c r="R101" s="36"/>
      <c r="S101" s="36"/>
      <c r="T101" s="35"/>
      <c r="U101" s="35"/>
      <c r="V101" s="35"/>
      <c r="W101" s="35"/>
      <c r="X101" s="36"/>
      <c r="Y101" s="36"/>
      <c r="Z101" s="36"/>
      <c r="AA101" s="36"/>
      <c r="AB101" s="36"/>
      <c r="AC101" s="36"/>
    </row>
    <row r="102" spans="1:29">
      <c r="K102" s="34"/>
      <c r="L102" s="108"/>
      <c r="M102" s="107"/>
      <c r="N102" s="108"/>
      <c r="O102" s="108"/>
      <c r="P102" s="108"/>
      <c r="Q102" s="35"/>
      <c r="R102" s="35"/>
      <c r="S102" s="35"/>
      <c r="T102" s="35"/>
      <c r="U102" s="35"/>
      <c r="V102" s="35"/>
      <c r="W102" s="35"/>
      <c r="X102" s="36"/>
      <c r="Y102" s="36"/>
      <c r="Z102" s="36"/>
      <c r="AA102" s="36"/>
      <c r="AB102" s="36"/>
      <c r="AC102" s="36"/>
    </row>
    <row r="103" spans="1:29">
      <c r="K103" s="34"/>
      <c r="L103" s="108" t="s">
        <v>500</v>
      </c>
      <c r="M103" s="107"/>
      <c r="N103" s="112" t="e">
        <f>SUM(M186/(P30-M36+Q65-M72-U81))</f>
        <v>#DIV/0!</v>
      </c>
      <c r="O103" s="113" t="e">
        <f>IF(N103&lt;=S88,S103,S104)</f>
        <v>#DIV/0!</v>
      </c>
      <c r="P103" s="108"/>
      <c r="Q103" s="35"/>
      <c r="R103" s="35"/>
      <c r="S103" s="35" t="s">
        <v>482</v>
      </c>
      <c r="T103" s="35"/>
      <c r="U103" s="35"/>
      <c r="V103" s="35"/>
      <c r="W103" s="35"/>
      <c r="X103" s="36"/>
      <c r="Y103" s="36"/>
      <c r="Z103" s="36"/>
      <c r="AA103" s="36"/>
      <c r="AB103" s="36"/>
      <c r="AC103" s="36"/>
    </row>
    <row r="104" spans="1:29">
      <c r="K104" s="34"/>
      <c r="L104" s="36"/>
      <c r="M104" s="36"/>
      <c r="N104" s="36"/>
      <c r="O104" s="36"/>
      <c r="P104" s="35"/>
      <c r="Q104" s="35"/>
      <c r="R104" s="36"/>
      <c r="S104" s="35" t="s">
        <v>483</v>
      </c>
      <c r="T104" s="36"/>
      <c r="U104" s="36"/>
      <c r="V104" s="36"/>
      <c r="W104" s="35"/>
      <c r="X104" s="36"/>
      <c r="Y104" s="36"/>
      <c r="Z104" s="36"/>
      <c r="AA104" s="36"/>
      <c r="AB104" s="36"/>
      <c r="AC104" s="36"/>
    </row>
    <row r="105" spans="1:29">
      <c r="A105" s="34"/>
      <c r="B105" s="34"/>
      <c r="K105" s="34"/>
      <c r="L105" s="36"/>
      <c r="M105" s="36"/>
      <c r="N105" s="36"/>
      <c r="O105" s="36"/>
      <c r="P105" s="36"/>
      <c r="Q105" s="36"/>
      <c r="R105" s="36"/>
      <c r="S105" s="36"/>
      <c r="T105" s="36"/>
      <c r="U105" s="36"/>
      <c r="V105" s="36"/>
      <c r="W105" s="35"/>
      <c r="X105" s="36"/>
      <c r="Y105" s="36"/>
      <c r="Z105" s="36"/>
      <c r="AA105" s="36"/>
      <c r="AB105" s="36"/>
      <c r="AC105" s="36"/>
    </row>
    <row r="106" spans="1:29">
      <c r="K106" s="34"/>
      <c r="L106" s="50" t="s">
        <v>749</v>
      </c>
      <c r="M106" s="36"/>
      <c r="N106" s="36"/>
      <c r="O106" s="79"/>
      <c r="P106" s="36"/>
      <c r="Q106" s="36"/>
      <c r="R106" s="36"/>
      <c r="S106" s="36"/>
      <c r="T106" s="36"/>
      <c r="U106" s="36"/>
      <c r="V106" s="36"/>
      <c r="W106" s="35"/>
      <c r="X106" s="36"/>
      <c r="Y106" s="36"/>
      <c r="Z106" s="36"/>
      <c r="AA106" s="36"/>
      <c r="AB106" s="36"/>
      <c r="AC106" s="36"/>
    </row>
    <row r="107" spans="1:29">
      <c r="L107" s="36"/>
      <c r="M107" s="36"/>
      <c r="N107" s="36"/>
      <c r="O107" s="79"/>
      <c r="P107" s="36"/>
      <c r="Q107" s="36"/>
      <c r="R107" s="36"/>
      <c r="S107" s="36"/>
      <c r="T107" s="36"/>
      <c r="U107" s="36"/>
      <c r="V107" s="36"/>
      <c r="W107" s="35"/>
      <c r="X107" s="36"/>
      <c r="Y107" s="36"/>
      <c r="Z107" s="36"/>
      <c r="AA107" s="36"/>
      <c r="AB107" s="36"/>
      <c r="AC107" s="36"/>
    </row>
    <row r="108" spans="1:29">
      <c r="L108" s="36"/>
      <c r="M108" s="36"/>
      <c r="N108" s="36"/>
      <c r="O108" s="36" t="s">
        <v>7</v>
      </c>
      <c r="P108" s="36"/>
      <c r="Q108" s="79" t="s">
        <v>5</v>
      </c>
      <c r="R108" s="36"/>
      <c r="S108" s="36"/>
      <c r="T108" s="36"/>
      <c r="U108" s="36"/>
      <c r="V108" s="36"/>
      <c r="W108" s="35"/>
      <c r="X108" s="36"/>
      <c r="Y108" s="36"/>
      <c r="Z108" s="36"/>
      <c r="AA108" s="36"/>
      <c r="AB108" s="36"/>
      <c r="AC108" s="36"/>
    </row>
    <row r="109" spans="1:29">
      <c r="L109" s="36" t="s">
        <v>517</v>
      </c>
      <c r="M109" s="36"/>
      <c r="N109" s="36"/>
      <c r="O109" s="79">
        <f>SUM(Q109/12)</f>
        <v>0</v>
      </c>
      <c r="P109" s="36"/>
      <c r="Q109" s="79">
        <f>SUM('Occupy borrower(s) Income'!O49+'Occupy borrower(s) Income'!Q49)</f>
        <v>0</v>
      </c>
      <c r="R109" s="36"/>
      <c r="S109" s="36"/>
      <c r="T109" s="36"/>
      <c r="U109" s="36"/>
      <c r="V109" s="36"/>
      <c r="W109" s="35"/>
      <c r="X109" s="36"/>
      <c r="Y109" s="36"/>
      <c r="Z109" s="36"/>
      <c r="AA109" s="36"/>
      <c r="AB109" s="36"/>
      <c r="AC109" s="36"/>
    </row>
    <row r="110" spans="1:29">
      <c r="L110" s="52" t="s">
        <v>519</v>
      </c>
      <c r="M110" s="36"/>
      <c r="N110" s="36"/>
      <c r="O110" s="79" t="e">
        <f>SUM(Q110/12)</f>
        <v>#REF!</v>
      </c>
      <c r="P110" s="36"/>
      <c r="Q110" s="79" t="e">
        <f>SUM(M36+U30)</f>
        <v>#REF!</v>
      </c>
      <c r="R110" s="36"/>
      <c r="S110" s="36"/>
      <c r="T110" s="36"/>
      <c r="U110" s="36"/>
      <c r="V110" s="36"/>
      <c r="W110" s="35"/>
      <c r="X110" s="36"/>
      <c r="Y110" s="36"/>
      <c r="Z110" s="36"/>
      <c r="AA110" s="36"/>
      <c r="AB110" s="36"/>
      <c r="AC110" s="36"/>
    </row>
    <row r="111" spans="1:29">
      <c r="L111" s="36" t="e">
        <f>IF(O111&lt;0,"The applicant has no disposable income","Disposable left over income")</f>
        <v>#REF!</v>
      </c>
      <c r="M111" s="36"/>
      <c r="N111" s="36"/>
      <c r="O111" s="79" t="e">
        <f>SUM(O109-O110)</f>
        <v>#REF!</v>
      </c>
      <c r="P111" s="36"/>
      <c r="Q111" s="79" t="e">
        <f>SUM(Q109-Q110)</f>
        <v>#REF!</v>
      </c>
      <c r="R111" s="36"/>
      <c r="S111" s="36"/>
      <c r="T111" s="36"/>
      <c r="U111" s="36"/>
      <c r="V111" s="36"/>
      <c r="W111" s="35"/>
      <c r="X111" s="36"/>
      <c r="Y111" s="36"/>
      <c r="Z111" s="36"/>
      <c r="AA111" s="36"/>
      <c r="AB111" s="36"/>
      <c r="AC111" s="36"/>
    </row>
    <row r="112" spans="1:29">
      <c r="L112" s="36" t="e">
        <f>IF(O111&lt;0,"Plus 10% to anticipate increased expenditure","Less 10% of disposable income")</f>
        <v>#REF!</v>
      </c>
      <c r="M112" s="36"/>
      <c r="N112" s="36"/>
      <c r="O112" s="79" t="e">
        <f>SUM(O111*10%)</f>
        <v>#REF!</v>
      </c>
      <c r="P112" s="36"/>
      <c r="Q112" s="79" t="e">
        <f>SUM(Q111*10%)</f>
        <v>#REF!</v>
      </c>
      <c r="R112" s="36"/>
      <c r="S112" s="36"/>
      <c r="T112" s="36"/>
      <c r="U112" s="36"/>
      <c r="V112" s="36"/>
      <c r="W112" s="35"/>
      <c r="X112" s="36"/>
      <c r="Y112" s="36"/>
      <c r="Z112" s="36"/>
      <c r="AA112" s="36"/>
      <c r="AB112" s="36"/>
      <c r="AC112" s="36"/>
    </row>
    <row r="113" spans="1:29">
      <c r="L113" s="36" t="e">
        <f>IF(O113&lt;=0,"Applicant has no disposable income","Applicant - 90% of Disposable Monthly Income")</f>
        <v>#REF!</v>
      </c>
      <c r="M113" s="36"/>
      <c r="N113" s="36"/>
      <c r="O113" s="79" t="e">
        <f>IF(O111&gt;0,O111-O112,O111+O112)</f>
        <v>#REF!</v>
      </c>
      <c r="P113" s="36"/>
      <c r="Q113" s="79" t="e">
        <f>IF(Q111&gt;0,Q111-Q112,Q111+Q112)</f>
        <v>#REF!</v>
      </c>
      <c r="R113" s="36"/>
      <c r="S113" s="36"/>
      <c r="T113" s="36"/>
      <c r="U113" s="36"/>
      <c r="V113" s="36"/>
      <c r="W113" s="35"/>
      <c r="X113" s="36"/>
      <c r="Y113" s="36"/>
      <c r="Z113" s="36"/>
      <c r="AA113" s="36"/>
      <c r="AB113" s="36"/>
      <c r="AC113" s="36"/>
    </row>
    <row r="114" spans="1:29">
      <c r="L114" s="36"/>
      <c r="M114" s="36"/>
      <c r="N114" s="36"/>
      <c r="O114" s="36"/>
      <c r="P114" s="36"/>
      <c r="Q114" s="36"/>
      <c r="R114" s="36"/>
      <c r="S114" s="36"/>
      <c r="T114" s="36"/>
      <c r="U114" s="36"/>
      <c r="V114" s="36"/>
      <c r="W114" s="35"/>
      <c r="X114" s="36"/>
      <c r="Y114" s="36"/>
      <c r="Z114" s="36"/>
      <c r="AA114" s="36"/>
      <c r="AB114" s="36"/>
      <c r="AC114" s="36"/>
    </row>
    <row r="115" spans="1:29">
      <c r="B115" s="114"/>
      <c r="C115" s="114"/>
      <c r="D115" s="114"/>
      <c r="E115" s="114"/>
      <c r="F115" s="114"/>
      <c r="G115" s="114"/>
      <c r="H115" s="114"/>
      <c r="I115" s="114"/>
      <c r="L115" s="36"/>
      <c r="M115" s="36"/>
      <c r="N115" s="36"/>
      <c r="O115" s="36"/>
      <c r="P115" s="36"/>
      <c r="Q115" s="36"/>
      <c r="R115" s="36"/>
      <c r="S115" s="36"/>
      <c r="T115" s="36"/>
      <c r="U115" s="36"/>
      <c r="V115" s="36"/>
      <c r="W115" s="35"/>
      <c r="X115" s="36"/>
      <c r="Y115" s="36"/>
      <c r="Z115" s="36"/>
      <c r="AA115" s="36"/>
      <c r="AB115" s="36"/>
      <c r="AC115" s="36"/>
    </row>
    <row r="116" spans="1:29">
      <c r="A116" s="114"/>
      <c r="B116" s="114"/>
      <c r="C116" s="114"/>
      <c r="D116" s="114"/>
      <c r="E116" s="114"/>
      <c r="F116" s="114"/>
      <c r="G116" s="114"/>
      <c r="H116" s="114"/>
      <c r="I116" s="114"/>
      <c r="L116" s="50" t="s">
        <v>750</v>
      </c>
      <c r="M116" s="36"/>
      <c r="N116" s="36"/>
      <c r="O116" s="79"/>
      <c r="P116" s="36"/>
      <c r="Q116" s="36"/>
      <c r="R116" s="36"/>
      <c r="S116" s="36"/>
      <c r="T116" s="36"/>
      <c r="U116" s="36"/>
      <c r="V116" s="36"/>
      <c r="W116" s="35"/>
      <c r="X116" s="36"/>
      <c r="Y116" s="36"/>
      <c r="Z116" s="36"/>
      <c r="AA116" s="36"/>
      <c r="AB116" s="36"/>
      <c r="AC116" s="36"/>
    </row>
    <row r="117" spans="1:29">
      <c r="L117" s="36"/>
      <c r="M117" s="36"/>
      <c r="N117" s="36"/>
      <c r="O117" s="79"/>
      <c r="P117" s="36"/>
      <c r="Q117" s="36"/>
      <c r="R117" s="36"/>
      <c r="S117" s="36"/>
      <c r="T117" s="36"/>
      <c r="U117" s="36"/>
      <c r="V117" s="36"/>
      <c r="W117" s="35"/>
      <c r="X117" s="36"/>
      <c r="Y117" s="36"/>
      <c r="Z117" s="36"/>
      <c r="AA117" s="36"/>
      <c r="AB117" s="36"/>
      <c r="AC117" s="36"/>
    </row>
    <row r="118" spans="1:29">
      <c r="L118" s="36"/>
      <c r="M118" s="36"/>
      <c r="N118" s="36"/>
      <c r="O118" s="36" t="s">
        <v>7</v>
      </c>
      <c r="P118" s="36"/>
      <c r="Q118" s="79" t="s">
        <v>5</v>
      </c>
      <c r="R118" s="36"/>
      <c r="S118" s="36"/>
      <c r="T118" s="36"/>
      <c r="U118" s="36"/>
      <c r="V118" s="36"/>
      <c r="W118" s="35"/>
      <c r="X118" s="36"/>
      <c r="Y118" s="36"/>
      <c r="Z118" s="36"/>
      <c r="AA118" s="36"/>
      <c r="AB118" s="36"/>
      <c r="AC118" s="36"/>
    </row>
    <row r="119" spans="1:29">
      <c r="L119" s="36" t="s">
        <v>186</v>
      </c>
      <c r="M119" s="36"/>
      <c r="N119" s="36"/>
      <c r="O119" s="79">
        <f>Q119/12</f>
        <v>0</v>
      </c>
      <c r="P119" s="36"/>
      <c r="Q119" s="79">
        <f>SUM('Supporting borrower(s) Income'!O49+'Supporting borrower(s) Income'!Q49)</f>
        <v>0</v>
      </c>
      <c r="R119" s="36"/>
      <c r="S119" s="36"/>
      <c r="T119" s="36"/>
      <c r="U119" s="36"/>
      <c r="V119" s="36"/>
      <c r="W119" s="35"/>
      <c r="X119" s="36"/>
      <c r="Y119" s="36"/>
      <c r="Z119" s="36"/>
      <c r="AA119" s="36"/>
      <c r="AB119" s="36"/>
      <c r="AC119" s="36"/>
    </row>
    <row r="120" spans="1:29">
      <c r="L120" s="52" t="s">
        <v>519</v>
      </c>
      <c r="M120" s="36"/>
      <c r="N120" s="36"/>
      <c r="O120" s="79" t="e">
        <f>Q120/12</f>
        <v>#REF!</v>
      </c>
      <c r="P120" s="36"/>
      <c r="Q120" s="79" t="e">
        <f>SUM(M72+U73)</f>
        <v>#REF!</v>
      </c>
      <c r="R120" s="36"/>
      <c r="S120" s="36"/>
      <c r="T120" s="36"/>
      <c r="U120" s="36"/>
      <c r="V120" s="36"/>
      <c r="W120" s="35"/>
      <c r="X120" s="36"/>
      <c r="Y120" s="36"/>
      <c r="Z120" s="36"/>
      <c r="AA120" s="36"/>
      <c r="AB120" s="36"/>
      <c r="AC120" s="36"/>
    </row>
    <row r="121" spans="1:29">
      <c r="L121" s="52" t="s">
        <v>518</v>
      </c>
      <c r="M121" s="36"/>
      <c r="N121" s="36"/>
      <c r="O121" s="79" t="e">
        <f>Q121/12</f>
        <v>#REF!</v>
      </c>
      <c r="P121" s="36"/>
      <c r="Q121" s="79" t="e">
        <f>Q119-Q120</f>
        <v>#REF!</v>
      </c>
      <c r="R121" s="36"/>
      <c r="S121" s="36"/>
      <c r="T121" s="36"/>
      <c r="U121" s="36"/>
      <c r="V121" s="36"/>
      <c r="W121" s="35"/>
      <c r="X121" s="36"/>
      <c r="Y121" s="36"/>
      <c r="Z121" s="36"/>
      <c r="AA121" s="36"/>
      <c r="AB121" s="36"/>
      <c r="AC121" s="36"/>
    </row>
    <row r="122" spans="1:29">
      <c r="L122" s="36" t="s">
        <v>174</v>
      </c>
      <c r="M122" s="36"/>
      <c r="N122" s="36"/>
      <c r="O122" s="79" t="e">
        <f>O121*10%</f>
        <v>#REF!</v>
      </c>
      <c r="P122" s="36"/>
      <c r="Q122" s="79" t="e">
        <f>Q121*10%</f>
        <v>#REF!</v>
      </c>
      <c r="R122" s="36"/>
      <c r="S122" s="36"/>
      <c r="T122" s="36"/>
      <c r="U122" s="36"/>
      <c r="V122" s="36"/>
      <c r="W122" s="35"/>
      <c r="X122" s="36"/>
      <c r="Y122" s="36"/>
      <c r="Z122" s="36"/>
      <c r="AA122" s="36"/>
      <c r="AB122" s="36"/>
      <c r="AC122" s="36"/>
    </row>
    <row r="123" spans="1:29">
      <c r="L123" s="36" t="s">
        <v>175</v>
      </c>
      <c r="M123" s="36"/>
      <c r="N123" s="36"/>
      <c r="O123" s="79" t="e">
        <f>O121-O122</f>
        <v>#REF!</v>
      </c>
      <c r="P123" s="36"/>
      <c r="Q123" s="79" t="e">
        <f>Q121-Q122</f>
        <v>#REF!</v>
      </c>
      <c r="R123" s="36"/>
      <c r="S123" s="36"/>
      <c r="T123" s="36"/>
      <c r="U123" s="36"/>
      <c r="V123" s="36"/>
      <c r="W123" s="35"/>
      <c r="X123" s="36"/>
      <c r="Y123" s="36"/>
      <c r="Z123" s="36"/>
      <c r="AA123" s="36"/>
      <c r="AB123" s="36"/>
      <c r="AC123" s="36"/>
    </row>
    <row r="124" spans="1:29">
      <c r="L124" s="36"/>
      <c r="M124" s="36"/>
      <c r="N124" s="36"/>
      <c r="O124" s="36"/>
      <c r="P124" s="36"/>
      <c r="Q124" s="36"/>
      <c r="R124" s="36"/>
      <c r="S124" s="36"/>
      <c r="T124" s="36"/>
      <c r="U124" s="36"/>
      <c r="V124" s="36"/>
      <c r="W124" s="35"/>
      <c r="X124" s="36"/>
      <c r="Y124" s="36"/>
      <c r="Z124" s="36"/>
      <c r="AA124" s="36"/>
      <c r="AB124" s="36"/>
      <c r="AC124" s="36"/>
    </row>
    <row r="125" spans="1:29">
      <c r="L125" s="36"/>
      <c r="M125" s="36"/>
      <c r="N125" s="36"/>
      <c r="O125" s="36"/>
      <c r="P125" s="36"/>
      <c r="Q125" s="36"/>
      <c r="R125" s="36"/>
      <c r="S125" s="36"/>
      <c r="T125" s="36"/>
      <c r="U125" s="36"/>
      <c r="V125" s="36"/>
      <c r="W125" s="35"/>
      <c r="X125" s="36"/>
      <c r="Y125" s="36"/>
      <c r="Z125" s="36"/>
      <c r="AA125" s="36"/>
      <c r="AB125" s="36"/>
      <c r="AC125" s="36"/>
    </row>
    <row r="126" spans="1:29">
      <c r="L126" s="52" t="e">
        <f>IF(O111&lt;=0,"Applicant has no disposable income","Applicant - 90% of Disposable Monthly Income")</f>
        <v>#REF!</v>
      </c>
      <c r="M126" s="36"/>
      <c r="N126" s="36"/>
      <c r="O126" s="79" t="e">
        <f>SUM(Q126/12)</f>
        <v>#REF!</v>
      </c>
      <c r="P126" s="36"/>
      <c r="Q126" s="79" t="e">
        <f>Q113</f>
        <v>#REF!</v>
      </c>
      <c r="R126" s="36"/>
      <c r="S126" s="36"/>
      <c r="T126" s="36"/>
      <c r="U126" s="36"/>
      <c r="V126" s="36"/>
      <c r="W126" s="35"/>
      <c r="X126" s="36"/>
      <c r="Y126" s="36"/>
      <c r="Z126" s="36"/>
      <c r="AA126" s="36"/>
      <c r="AB126" s="36"/>
      <c r="AC126" s="36"/>
    </row>
    <row r="127" spans="1:29">
      <c r="L127" s="52" t="s">
        <v>521</v>
      </c>
      <c r="M127" s="36"/>
      <c r="N127" s="36"/>
      <c r="O127" s="79" t="e">
        <f>SUM(Q127/12)</f>
        <v>#REF!</v>
      </c>
      <c r="P127" s="36"/>
      <c r="Q127" s="79" t="e">
        <f>Q123</f>
        <v>#REF!</v>
      </c>
      <c r="R127" s="36"/>
      <c r="S127" s="36"/>
      <c r="T127" s="36"/>
      <c r="U127" s="36"/>
      <c r="V127" s="36"/>
      <c r="W127" s="35"/>
      <c r="X127" s="36"/>
      <c r="Y127" s="36"/>
      <c r="Z127" s="36"/>
      <c r="AA127" s="36"/>
      <c r="AB127" s="36"/>
      <c r="AC127" s="36"/>
    </row>
    <row r="128" spans="1:29">
      <c r="L128" s="52" t="s">
        <v>445</v>
      </c>
      <c r="M128" s="36"/>
      <c r="N128" s="36"/>
      <c r="O128" s="79" t="e">
        <f>SUM(Q128/12)</f>
        <v>#REF!</v>
      </c>
      <c r="P128" s="36"/>
      <c r="Q128" s="79" t="e">
        <f>SUM(Q126:Q127)</f>
        <v>#REF!</v>
      </c>
      <c r="R128" s="36"/>
      <c r="S128" s="36"/>
      <c r="T128" s="36"/>
      <c r="U128" s="36"/>
      <c r="V128" s="36"/>
      <c r="W128" s="35"/>
      <c r="X128" s="36"/>
      <c r="Y128" s="36"/>
      <c r="Z128" s="36"/>
      <c r="AA128" s="36"/>
      <c r="AB128" s="36"/>
      <c r="AC128" s="36"/>
    </row>
    <row r="129" spans="12:29">
      <c r="L129" s="52"/>
      <c r="M129" s="36"/>
      <c r="N129" s="36"/>
      <c r="O129" s="79"/>
      <c r="P129" s="36"/>
      <c r="Q129" s="79"/>
      <c r="R129" s="36"/>
      <c r="S129" s="36"/>
      <c r="T129" s="36"/>
      <c r="U129" s="36"/>
      <c r="V129" s="36"/>
      <c r="W129" s="36"/>
      <c r="X129" s="36"/>
      <c r="Y129" s="36"/>
      <c r="Z129" s="36"/>
      <c r="AA129" s="36"/>
      <c r="AB129" s="36"/>
      <c r="AC129" s="36"/>
    </row>
    <row r="130" spans="12:29">
      <c r="L130" s="52" t="s">
        <v>495</v>
      </c>
      <c r="M130" s="36"/>
      <c r="N130" s="36"/>
      <c r="O130" s="79">
        <f>T159</f>
        <v>2772.2264489611948</v>
      </c>
      <c r="P130" s="36"/>
      <c r="Q130" s="79"/>
      <c r="R130" s="36"/>
      <c r="S130" s="36"/>
      <c r="T130" s="36"/>
      <c r="U130" s="36"/>
      <c r="V130" s="36"/>
      <c r="W130" s="36"/>
      <c r="X130" s="36"/>
      <c r="Y130" s="36"/>
      <c r="Z130" s="36"/>
      <c r="AA130" s="36"/>
      <c r="AB130" s="36"/>
      <c r="AC130" s="36"/>
    </row>
    <row r="131" spans="12:29">
      <c r="L131" s="36"/>
      <c r="M131" s="36"/>
      <c r="N131" s="36"/>
      <c r="O131" s="36"/>
      <c r="P131" s="36"/>
      <c r="Q131" s="79"/>
      <c r="R131" s="35"/>
      <c r="S131" s="35"/>
      <c r="T131" s="35"/>
      <c r="U131" s="35"/>
      <c r="V131" s="36"/>
      <c r="W131" s="35"/>
      <c r="X131" s="36"/>
      <c r="Y131" s="36"/>
      <c r="Z131" s="36"/>
      <c r="AA131" s="36"/>
      <c r="AB131" s="36"/>
      <c r="AC131" s="36"/>
    </row>
    <row r="132" spans="12:29" ht="13.8" thickBot="1">
      <c r="L132" s="52" t="s">
        <v>488</v>
      </c>
      <c r="M132" s="36"/>
      <c r="N132" s="36"/>
      <c r="O132" s="115" t="e">
        <f>SUM(O128/T159)</f>
        <v>#REF!</v>
      </c>
      <c r="P132" s="36"/>
      <c r="Q132" s="79"/>
      <c r="R132" s="35" t="s">
        <v>499</v>
      </c>
      <c r="S132" s="35"/>
      <c r="T132" s="116">
        <f>MIN(X90,X92)</f>
        <v>0</v>
      </c>
      <c r="U132" s="35"/>
      <c r="V132" s="36"/>
      <c r="W132" s="35"/>
      <c r="X132" s="36"/>
      <c r="Y132" s="36"/>
      <c r="Z132" s="36"/>
      <c r="AA132" s="36"/>
      <c r="AB132" s="36"/>
      <c r="AC132" s="36"/>
    </row>
    <row r="133" spans="12:29" ht="13.8" thickTop="1">
      <c r="L133" s="36"/>
      <c r="M133" s="36"/>
      <c r="N133" s="36"/>
      <c r="O133" s="36"/>
      <c r="P133" s="36"/>
      <c r="Q133" s="36"/>
      <c r="R133" s="36"/>
      <c r="S133" s="36"/>
      <c r="T133" s="36"/>
      <c r="U133" s="36"/>
      <c r="V133" s="36"/>
      <c r="W133" s="35"/>
      <c r="X133" s="36"/>
      <c r="Y133" s="36"/>
      <c r="Z133" s="36"/>
      <c r="AA133" s="36"/>
      <c r="AB133" s="36"/>
      <c r="AC133" s="36"/>
    </row>
    <row r="134" spans="12:29">
      <c r="L134" s="50" t="s">
        <v>587</v>
      </c>
      <c r="M134" s="36"/>
      <c r="N134" s="36"/>
      <c r="O134" s="36"/>
      <c r="P134" s="36"/>
      <c r="Q134" s="36"/>
      <c r="R134" s="50" t="s">
        <v>589</v>
      </c>
      <c r="S134" s="36"/>
      <c r="T134" s="36"/>
      <c r="U134" s="36"/>
      <c r="V134" s="36"/>
      <c r="W134" s="35"/>
      <c r="X134" s="36"/>
      <c r="Y134" s="36"/>
      <c r="Z134" s="36"/>
      <c r="AA134" s="36"/>
      <c r="AB134" s="36"/>
      <c r="AC134" s="36"/>
    </row>
    <row r="135" spans="12:29">
      <c r="L135" s="36"/>
      <c r="M135" s="36"/>
      <c r="N135" s="36"/>
      <c r="O135" s="36"/>
      <c r="P135" s="36"/>
      <c r="Q135" s="36"/>
      <c r="R135" s="36"/>
      <c r="S135" s="36"/>
      <c r="T135" s="36"/>
      <c r="U135" s="36"/>
      <c r="V135" s="36"/>
      <c r="W135" s="35"/>
      <c r="X135" s="36"/>
      <c r="Y135" s="36"/>
      <c r="Z135" s="36"/>
      <c r="AA135" s="36"/>
      <c r="AB135" s="36"/>
      <c r="AC135" s="36"/>
    </row>
    <row r="136" spans="12:29">
      <c r="L136" s="52" t="s">
        <v>445</v>
      </c>
      <c r="M136" s="36"/>
      <c r="N136" s="36"/>
      <c r="O136" s="79" t="e">
        <f>IF(O128&lt;0,0,O128)</f>
        <v>#REF!</v>
      </c>
      <c r="P136" s="36"/>
      <c r="Q136" s="36"/>
      <c r="R136" s="52" t="s">
        <v>445</v>
      </c>
      <c r="S136" s="36"/>
      <c r="T136" s="36"/>
      <c r="U136" s="79" t="e">
        <f>IF(O128&lt;0,0,O128)</f>
        <v>#REF!</v>
      </c>
      <c r="V136" s="36"/>
      <c r="W136" s="35"/>
      <c r="X136" s="36"/>
      <c r="Y136" s="36"/>
      <c r="Z136" s="36"/>
      <c r="AA136" s="36"/>
      <c r="AB136" s="36"/>
      <c r="AC136" s="36"/>
    </row>
    <row r="137" spans="12:29">
      <c r="L137" s="52" t="s">
        <v>516</v>
      </c>
      <c r="M137" s="36"/>
      <c r="N137" s="36"/>
      <c r="O137" s="117">
        <f>R159</f>
        <v>8.9399999999999993E-2</v>
      </c>
      <c r="P137" s="36"/>
      <c r="Q137" s="36"/>
      <c r="R137" s="52" t="s">
        <v>590</v>
      </c>
      <c r="S137" s="36"/>
      <c r="T137" s="36"/>
      <c r="U137" s="36">
        <v>6.34</v>
      </c>
      <c r="V137" s="36"/>
      <c r="W137" s="35"/>
      <c r="X137" s="36"/>
      <c r="Y137" s="36"/>
      <c r="Z137" s="36"/>
      <c r="AA137" s="36"/>
      <c r="AB137" s="36"/>
      <c r="AC137" s="36"/>
    </row>
    <row r="138" spans="12:29">
      <c r="L138" s="52" t="s">
        <v>522</v>
      </c>
      <c r="M138" s="36"/>
      <c r="N138" s="36"/>
      <c r="O138" s="118">
        <f>M180</f>
        <v>40</v>
      </c>
      <c r="P138" s="36"/>
      <c r="Q138" s="36"/>
      <c r="R138" s="52" t="s">
        <v>522</v>
      </c>
      <c r="S138" s="36"/>
      <c r="T138" s="36"/>
      <c r="U138" s="118">
        <f>M180</f>
        <v>40</v>
      </c>
      <c r="V138" s="119" t="s">
        <v>600</v>
      </c>
      <c r="W138" s="120"/>
      <c r="X138" s="36"/>
      <c r="Y138" s="36"/>
      <c r="Z138" s="36"/>
      <c r="AA138" s="36"/>
      <c r="AB138" s="36"/>
      <c r="AC138" s="36"/>
    </row>
    <row r="139" spans="12:29" ht="13.8" thickBot="1">
      <c r="L139" s="36" t="s">
        <v>505</v>
      </c>
      <c r="M139" s="36"/>
      <c r="N139" s="36"/>
      <c r="O139" s="121" t="e">
        <f>PV(O137/12,(O138)*12,-O136)*90%</f>
        <v>#REF!</v>
      </c>
      <c r="P139" s="36"/>
      <c r="Q139" s="36"/>
      <c r="R139" s="52" t="s">
        <v>591</v>
      </c>
      <c r="S139" s="36"/>
      <c r="T139" s="36"/>
      <c r="U139" s="121" t="e">
        <f>SUM(U136*100*90%)*12/U137</f>
        <v>#REF!</v>
      </c>
      <c r="V139" s="122" t="e">
        <f>SUM(U139*6.34%)/12</f>
        <v>#REF!</v>
      </c>
      <c r="W139" s="123" t="e">
        <f>SUM(U136/V139)</f>
        <v>#REF!</v>
      </c>
      <c r="X139" s="36"/>
      <c r="Y139" s="36"/>
      <c r="Z139" s="36"/>
      <c r="AA139" s="36"/>
      <c r="AB139" s="36"/>
      <c r="AC139" s="36"/>
    </row>
    <row r="140" spans="12:29" ht="13.8" thickTop="1">
      <c r="L140" s="36"/>
      <c r="M140" s="36"/>
      <c r="N140" s="36"/>
      <c r="O140" s="36"/>
      <c r="P140" s="36"/>
      <c r="Q140" s="36"/>
      <c r="R140" s="36"/>
      <c r="S140" s="36"/>
      <c r="T140" s="36"/>
      <c r="U140" s="36"/>
      <c r="V140" s="36"/>
      <c r="W140" s="36"/>
      <c r="X140" s="36"/>
      <c r="Y140" s="36"/>
      <c r="Z140" s="36"/>
      <c r="AA140" s="36"/>
      <c r="AB140" s="36"/>
      <c r="AC140" s="36"/>
    </row>
    <row r="141" spans="12:29">
      <c r="L141" s="36"/>
      <c r="M141" s="36"/>
      <c r="N141" s="36"/>
      <c r="O141" s="36"/>
      <c r="P141" s="36"/>
      <c r="Q141" s="36"/>
      <c r="R141" s="36"/>
      <c r="S141" s="36"/>
      <c r="T141" s="36"/>
      <c r="U141" s="36"/>
      <c r="V141" s="36"/>
      <c r="W141" s="36"/>
      <c r="X141" s="36"/>
      <c r="Y141" s="36"/>
      <c r="Z141" s="36"/>
      <c r="AA141" s="36"/>
      <c r="AB141" s="36"/>
      <c r="AC141" s="36"/>
    </row>
    <row r="142" spans="12:29">
      <c r="L142" s="36"/>
      <c r="M142" s="36"/>
      <c r="N142" s="36"/>
      <c r="O142" s="36"/>
      <c r="P142" s="36"/>
      <c r="Q142" s="36"/>
      <c r="R142" s="36"/>
      <c r="S142" s="36"/>
      <c r="T142" s="36"/>
      <c r="U142" s="36"/>
      <c r="V142" s="36"/>
      <c r="W142" s="36"/>
      <c r="X142" s="36"/>
      <c r="Y142" s="36"/>
      <c r="Z142" s="36"/>
      <c r="AA142" s="36"/>
      <c r="AB142" s="36"/>
      <c r="AC142" s="36"/>
    </row>
    <row r="143" spans="12:29">
      <c r="L143" s="36"/>
      <c r="M143" s="36"/>
      <c r="N143" s="36"/>
      <c r="O143" s="36"/>
      <c r="P143" s="36"/>
      <c r="Q143" s="36"/>
      <c r="R143" s="36"/>
      <c r="S143" s="36"/>
      <c r="T143" s="36"/>
      <c r="U143" s="36"/>
      <c r="V143" s="36"/>
      <c r="W143" s="36"/>
      <c r="X143" s="104"/>
      <c r="Y143" s="104"/>
      <c r="Z143" s="104"/>
      <c r="AA143" s="104"/>
      <c r="AB143" s="36"/>
      <c r="AC143" s="36"/>
    </row>
    <row r="144" spans="12:29">
      <c r="L144" s="36"/>
      <c r="M144" s="36"/>
      <c r="N144" s="36"/>
      <c r="O144" s="36"/>
      <c r="P144" s="36"/>
      <c r="Q144" s="36"/>
      <c r="R144" s="50" t="s">
        <v>593</v>
      </c>
      <c r="S144" s="36"/>
      <c r="T144" s="36"/>
      <c r="U144" s="36"/>
      <c r="V144" s="36"/>
      <c r="W144" s="36"/>
      <c r="X144" s="124" t="s">
        <v>645</v>
      </c>
      <c r="Y144" s="104"/>
      <c r="Z144" s="104"/>
      <c r="AA144" s="104"/>
      <c r="AB144" s="36"/>
      <c r="AC144" s="36"/>
    </row>
    <row r="145" spans="12:29">
      <c r="L145" s="50" t="s">
        <v>609</v>
      </c>
      <c r="M145" s="36"/>
      <c r="N145" s="36"/>
      <c r="O145" s="36"/>
      <c r="P145" s="36"/>
      <c r="Q145" s="36"/>
      <c r="R145" s="52" t="s">
        <v>592</v>
      </c>
      <c r="S145" s="36"/>
      <c r="T145" s="36"/>
      <c r="U145" s="79">
        <f>M186</f>
        <v>0</v>
      </c>
      <c r="V145" s="36"/>
      <c r="W145" s="35"/>
      <c r="X145" s="93" t="s">
        <v>592</v>
      </c>
      <c r="Y145" s="104"/>
      <c r="Z145" s="104"/>
      <c r="AA145" s="105">
        <f>M186</f>
        <v>0</v>
      </c>
      <c r="AB145" s="36"/>
      <c r="AC145" s="36"/>
    </row>
    <row r="146" spans="12:29">
      <c r="L146" s="36"/>
      <c r="M146" s="36"/>
      <c r="N146" s="125" t="s">
        <v>613</v>
      </c>
      <c r="O146" s="126" t="s">
        <v>664</v>
      </c>
      <c r="P146" s="36"/>
      <c r="Q146" s="36"/>
      <c r="R146" s="52" t="s">
        <v>648</v>
      </c>
      <c r="S146" s="36"/>
      <c r="T146" s="36"/>
      <c r="U146" s="79">
        <f>SUM(U145*O137)/12</f>
        <v>0</v>
      </c>
      <c r="V146" s="36"/>
      <c r="W146" s="35"/>
      <c r="X146" s="93" t="s">
        <v>648</v>
      </c>
      <c r="Y146" s="104"/>
      <c r="Z146" s="104"/>
      <c r="AA146" s="105">
        <f>SUM(AA145*O137)/12</f>
        <v>0</v>
      </c>
      <c r="AB146" s="36"/>
      <c r="AC146" s="36"/>
    </row>
    <row r="147" spans="12:29">
      <c r="L147" s="36" t="s">
        <v>576</v>
      </c>
      <c r="M147" s="36"/>
      <c r="N147" s="79" t="e">
        <f>O139</f>
        <v>#REF!</v>
      </c>
      <c r="O147" s="79" t="e">
        <f>IF(N147&gt;N152,N152,N147)</f>
        <v>#REF!</v>
      </c>
      <c r="P147" s="36">
        <v>1</v>
      </c>
      <c r="Q147" s="36"/>
      <c r="R147" s="52" t="s">
        <v>594</v>
      </c>
      <c r="S147" s="36"/>
      <c r="T147" s="36"/>
      <c r="U147" s="79" t="e">
        <f>IF(O128&lt;0,0,O128-U146)</f>
        <v>#REF!</v>
      </c>
      <c r="V147" s="36"/>
      <c r="W147" s="35"/>
      <c r="X147" s="104" t="s">
        <v>649</v>
      </c>
      <c r="Y147" s="104"/>
      <c r="Z147" s="104"/>
      <c r="AA147" s="105">
        <f>T163</f>
        <v>0</v>
      </c>
      <c r="AB147" s="119" t="s">
        <v>600</v>
      </c>
      <c r="AC147" s="127"/>
    </row>
    <row r="148" spans="12:29">
      <c r="L148" s="36" t="s">
        <v>172</v>
      </c>
      <c r="M148" s="36"/>
      <c r="N148" s="79" t="e">
        <f>U139</f>
        <v>#REF!</v>
      </c>
      <c r="O148" s="79" t="e">
        <f>IF(N148&gt;N152,N152,N148)</f>
        <v>#REF!</v>
      </c>
      <c r="P148" s="36">
        <v>2</v>
      </c>
      <c r="Q148" s="36"/>
      <c r="R148" s="52" t="s">
        <v>595</v>
      </c>
      <c r="S148" s="36"/>
      <c r="T148" s="36"/>
      <c r="U148" s="79" t="e">
        <f>FLOOR(U147,100)</f>
        <v>#REF!</v>
      </c>
      <c r="V148" s="36"/>
      <c r="W148" s="36"/>
      <c r="X148" s="104" t="s">
        <v>650</v>
      </c>
      <c r="Y148" s="104"/>
      <c r="Z148" s="104"/>
      <c r="AA148" s="105">
        <f>SUM(AA146:AA147)</f>
        <v>0</v>
      </c>
      <c r="AB148" s="128" t="e">
        <f>SUM(O128/AA148)</f>
        <v>#REF!</v>
      </c>
      <c r="AC148" s="36"/>
    </row>
    <row r="149" spans="12:29">
      <c r="L149" s="36" t="s">
        <v>206</v>
      </c>
      <c r="M149" s="36"/>
      <c r="N149" s="79" t="e">
        <f>U155</f>
        <v>#REF!</v>
      </c>
      <c r="O149" s="79" t="e">
        <f>IF(N149&gt;N152,N152,N149)</f>
        <v>#REF!</v>
      </c>
      <c r="P149" s="36">
        <v>3</v>
      </c>
      <c r="Q149" s="36"/>
      <c r="R149" s="52" t="s">
        <v>516</v>
      </c>
      <c r="S149" s="36"/>
      <c r="T149" s="36"/>
      <c r="U149" s="117">
        <f>O137</f>
        <v>8.9399999999999993E-2</v>
      </c>
      <c r="V149" s="36"/>
      <c r="W149" s="36"/>
      <c r="X149" s="104"/>
      <c r="Y149" s="104"/>
      <c r="Z149" s="104"/>
      <c r="AA149" s="104"/>
      <c r="AB149" s="36"/>
      <c r="AC149" s="36"/>
    </row>
    <row r="150" spans="12:29">
      <c r="L150" s="36"/>
      <c r="M150" s="36"/>
      <c r="N150" s="36"/>
      <c r="O150" s="36"/>
      <c r="P150" s="36"/>
      <c r="Q150" s="52" t="s">
        <v>26</v>
      </c>
      <c r="R150" s="52" t="s">
        <v>522</v>
      </c>
      <c r="S150" s="36"/>
      <c r="T150" s="36"/>
      <c r="U150" s="118">
        <f>M180</f>
        <v>40</v>
      </c>
      <c r="V150" s="36"/>
      <c r="W150" s="36"/>
      <c r="X150" s="104" t="s">
        <v>646</v>
      </c>
      <c r="Y150" s="104"/>
      <c r="Z150" s="104"/>
      <c r="AA150" s="105">
        <f>SUM(T132-AA145)</f>
        <v>0</v>
      </c>
      <c r="AB150" s="36"/>
      <c r="AC150" s="36"/>
    </row>
    <row r="151" spans="12:29">
      <c r="L151" s="36"/>
      <c r="M151" s="36"/>
      <c r="N151" s="36"/>
      <c r="O151" s="36"/>
      <c r="P151" s="36"/>
      <c r="Q151" s="36"/>
      <c r="R151" s="52" t="s">
        <v>599</v>
      </c>
      <c r="S151" s="36"/>
      <c r="T151" s="36"/>
      <c r="U151" s="79" t="e">
        <f>PV(U149/12,(U150)*12,-U147)*90%</f>
        <v>#REF!</v>
      </c>
      <c r="V151" s="36"/>
      <c r="W151" s="36"/>
      <c r="X151" s="104"/>
      <c r="Y151" s="104"/>
      <c r="Z151" s="104"/>
      <c r="AA151" s="104"/>
      <c r="AB151" s="36"/>
      <c r="AC151" s="36"/>
    </row>
    <row r="152" spans="12:29">
      <c r="L152" s="52" t="s">
        <v>665</v>
      </c>
      <c r="M152" s="36"/>
      <c r="N152" s="101">
        <f>T132</f>
        <v>0</v>
      </c>
      <c r="O152" s="52" t="s">
        <v>666</v>
      </c>
      <c r="P152" s="36"/>
      <c r="Q152" s="36"/>
      <c r="R152" s="52" t="s">
        <v>598</v>
      </c>
      <c r="S152" s="36"/>
      <c r="T152" s="36"/>
      <c r="U152" s="79">
        <f>SUM(U145*10%)</f>
        <v>0</v>
      </c>
      <c r="V152" s="119" t="s">
        <v>600</v>
      </c>
      <c r="W152" s="127"/>
      <c r="X152" s="104" t="s">
        <v>523</v>
      </c>
      <c r="Y152" s="104"/>
      <c r="Z152" s="104"/>
      <c r="AA152" s="105">
        <f>FLOOR(AA150,1000)</f>
        <v>0</v>
      </c>
      <c r="AB152" s="36"/>
      <c r="AC152" s="36"/>
    </row>
    <row r="153" spans="12:29" ht="13.8" thickBot="1">
      <c r="L153" s="36"/>
      <c r="M153" s="36"/>
      <c r="N153" s="36"/>
      <c r="O153" s="36"/>
      <c r="P153" s="36"/>
      <c r="Q153" s="36"/>
      <c r="R153" s="52" t="s">
        <v>601</v>
      </c>
      <c r="S153" s="36"/>
      <c r="T153" s="36"/>
      <c r="U153" s="129" t="e">
        <f>FLOOR(U151-U152,1000)</f>
        <v>#REF!</v>
      </c>
      <c r="V153" s="130">
        <f>SUM(T159+U146)</f>
        <v>2772.2264489611948</v>
      </c>
      <c r="W153" s="127"/>
      <c r="X153" s="104"/>
      <c r="Y153" s="104"/>
      <c r="Z153" s="104"/>
      <c r="AA153" s="104"/>
      <c r="AB153" s="36"/>
      <c r="AC153" s="36"/>
    </row>
    <row r="154" spans="12:29" ht="14.4" thickTop="1" thickBot="1">
      <c r="L154" s="36"/>
      <c r="M154" s="36"/>
      <c r="N154" s="36" t="s">
        <v>615</v>
      </c>
      <c r="O154" s="83" t="e">
        <f>IF(L178=L147,FLOOR(O147,1000),IF(L178=L148,FLOOR(O148,1000),IF(L178=L149,FLOOR(O149,1000))))</f>
        <v>#REF!</v>
      </c>
      <c r="P154" s="36"/>
      <c r="Q154" s="36"/>
      <c r="R154" s="36"/>
      <c r="S154" s="36"/>
      <c r="T154" s="36"/>
      <c r="U154" s="36"/>
      <c r="V154" s="131" t="e">
        <f>SUM(O128/V153)</f>
        <v>#REF!</v>
      </c>
      <c r="W154" s="127"/>
      <c r="X154" s="104" t="s">
        <v>647</v>
      </c>
      <c r="Y154" s="104"/>
      <c r="Z154" s="104"/>
      <c r="AA154" s="132">
        <f>SUM(AA145+AA150)</f>
        <v>0</v>
      </c>
      <c r="AB154" s="36"/>
      <c r="AC154" s="36"/>
    </row>
    <row r="155" spans="12:29" ht="13.8" thickTop="1">
      <c r="L155" s="52"/>
      <c r="M155" s="36"/>
      <c r="N155" s="36"/>
      <c r="O155" s="36"/>
      <c r="P155" s="36"/>
      <c r="Q155" s="36"/>
      <c r="R155" s="52" t="s">
        <v>610</v>
      </c>
      <c r="S155" s="36"/>
      <c r="T155" s="36"/>
      <c r="U155" s="79" t="e">
        <f>SUM(U153+U145)</f>
        <v>#REF!</v>
      </c>
      <c r="V155" s="36"/>
      <c r="W155" s="36"/>
      <c r="X155" s="104"/>
      <c r="Y155" s="104"/>
      <c r="Z155" s="104"/>
      <c r="AA155" s="105"/>
      <c r="AB155" s="36"/>
      <c r="AC155" s="36"/>
    </row>
    <row r="156" spans="12:29">
      <c r="L156" s="36"/>
      <c r="M156" s="36"/>
      <c r="N156" s="36"/>
      <c r="O156" s="36"/>
      <c r="P156" s="36"/>
      <c r="Q156" s="36"/>
      <c r="R156" s="36"/>
      <c r="S156" s="36"/>
      <c r="T156" s="36"/>
      <c r="U156" s="36"/>
      <c r="V156" s="36"/>
      <c r="W156" s="36"/>
      <c r="X156" s="36"/>
      <c r="Y156" s="36"/>
      <c r="Z156" s="36"/>
      <c r="AA156" s="36"/>
      <c r="AB156" s="36"/>
      <c r="AC156" s="36"/>
    </row>
    <row r="157" spans="12:29">
      <c r="L157" s="36"/>
      <c r="M157" s="50" t="s">
        <v>548</v>
      </c>
      <c r="N157" s="36"/>
      <c r="O157" s="36"/>
      <c r="P157" s="36"/>
      <c r="Q157" s="36"/>
      <c r="R157" s="36"/>
      <c r="S157" s="50" t="s">
        <v>549</v>
      </c>
      <c r="T157" s="36"/>
      <c r="U157" s="36"/>
      <c r="V157" s="36"/>
      <c r="W157" s="36"/>
      <c r="X157" s="36"/>
      <c r="Y157" s="36"/>
      <c r="Z157" s="36"/>
      <c r="AA157" s="36"/>
      <c r="AB157" s="36"/>
      <c r="AC157" s="36"/>
    </row>
    <row r="158" spans="12:29">
      <c r="L158" s="133" t="s">
        <v>167</v>
      </c>
      <c r="M158" s="36" t="s">
        <v>15</v>
      </c>
      <c r="N158" s="36" t="s">
        <v>168</v>
      </c>
      <c r="O158" s="36" t="s">
        <v>169</v>
      </c>
      <c r="P158" s="36" t="s">
        <v>170</v>
      </c>
      <c r="Q158" s="36"/>
      <c r="R158" s="36" t="s">
        <v>168</v>
      </c>
      <c r="S158" s="36" t="s">
        <v>169</v>
      </c>
      <c r="T158" s="36" t="s">
        <v>170</v>
      </c>
      <c r="U158" s="36"/>
      <c r="V158" s="36" t="s">
        <v>130</v>
      </c>
      <c r="W158" s="36"/>
      <c r="X158" s="50" t="s">
        <v>652</v>
      </c>
      <c r="Y158" s="36"/>
      <c r="Z158" s="36"/>
      <c r="AA158" s="36"/>
      <c r="AB158" s="36"/>
      <c r="AC158" s="36"/>
    </row>
    <row r="159" spans="12:29">
      <c r="L159" s="133">
        <f>M184</f>
        <v>360000</v>
      </c>
      <c r="M159" s="134">
        <f>M180</f>
        <v>40</v>
      </c>
      <c r="N159" s="117">
        <f>P83</f>
        <v>0</v>
      </c>
      <c r="O159" s="135">
        <f>-PMT(N159,M159,1000)/12</f>
        <v>2.0833333333333335</v>
      </c>
      <c r="P159" s="136">
        <f>(L159/1000)*O159</f>
        <v>750</v>
      </c>
      <c r="Q159" s="36"/>
      <c r="R159" s="117">
        <f>P82+1%</f>
        <v>8.9399999999999993E-2</v>
      </c>
      <c r="S159" s="135">
        <f>-PMT(R159,M159,1000)/12</f>
        <v>7.7006290248922076</v>
      </c>
      <c r="T159" s="134">
        <f>(L159/1000)*S159</f>
        <v>2772.2264489611948</v>
      </c>
      <c r="U159" s="135"/>
      <c r="V159" s="36" t="str">
        <f>IF(G150&lt;&gt;"Fixed","No",IF(H150&lt;&gt;5,"No","Yes"))</f>
        <v>No</v>
      </c>
      <c r="W159" s="36"/>
      <c r="X159" s="36"/>
      <c r="Y159" s="36"/>
      <c r="Z159" s="36"/>
      <c r="AA159" s="36"/>
      <c r="AB159" s="36"/>
      <c r="AC159" s="36"/>
    </row>
    <row r="160" spans="12:29" ht="13.8" thickBot="1">
      <c r="L160" s="36"/>
      <c r="M160" s="36"/>
      <c r="N160" s="36"/>
      <c r="O160" s="36"/>
      <c r="P160" s="36"/>
      <c r="Q160" s="36"/>
      <c r="R160" s="36"/>
      <c r="S160" s="36"/>
      <c r="T160" s="36"/>
      <c r="U160" s="36"/>
      <c r="V160" s="36"/>
      <c r="W160" s="36"/>
      <c r="X160" s="36"/>
      <c r="Y160" s="36"/>
      <c r="Z160" s="36"/>
      <c r="AA160" s="129" t="e">
        <f>IF(AA156=O154,AA152,U154)</f>
        <v>#REF!</v>
      </c>
      <c r="AB160" s="36"/>
      <c r="AC160" s="36"/>
    </row>
    <row r="161" spans="12:29" ht="13.8" thickTop="1">
      <c r="L161" s="36"/>
      <c r="M161" s="36"/>
      <c r="N161" s="36"/>
      <c r="O161" s="36"/>
      <c r="P161" s="36"/>
      <c r="Q161" s="36"/>
      <c r="R161" s="36"/>
      <c r="S161" s="50" t="s">
        <v>651</v>
      </c>
      <c r="T161" s="36"/>
      <c r="U161" s="36"/>
      <c r="V161" s="36"/>
      <c r="W161" s="36"/>
      <c r="X161" s="36"/>
      <c r="Y161" s="36"/>
      <c r="Z161" s="36"/>
      <c r="AA161" s="36"/>
      <c r="AB161" s="36"/>
      <c r="AC161" s="36"/>
    </row>
    <row r="162" spans="12:29">
      <c r="L162" s="36"/>
      <c r="M162" s="36"/>
      <c r="N162" s="36"/>
      <c r="O162" s="36"/>
      <c r="P162" s="36"/>
      <c r="Q162" s="36"/>
      <c r="R162" s="36" t="s">
        <v>168</v>
      </c>
      <c r="S162" s="36" t="s">
        <v>169</v>
      </c>
      <c r="T162" s="36" t="s">
        <v>170</v>
      </c>
      <c r="U162" s="36"/>
      <c r="V162" s="36" t="s">
        <v>130</v>
      </c>
      <c r="W162" s="36"/>
      <c r="X162" s="36"/>
      <c r="Y162" s="36"/>
      <c r="Z162" s="36"/>
      <c r="AA162" s="36"/>
      <c r="AB162" s="36"/>
      <c r="AC162" s="36"/>
    </row>
    <row r="163" spans="12:29">
      <c r="L163" s="36"/>
      <c r="M163" s="36"/>
      <c r="N163" s="36"/>
      <c r="O163" s="36"/>
      <c r="P163" s="36"/>
      <c r="Q163" s="36"/>
      <c r="R163" s="117">
        <f>P82+1%</f>
        <v>8.9399999999999993E-2</v>
      </c>
      <c r="S163" s="135">
        <f>-PMT(R163,M159,1000)/12</f>
        <v>7.7006290248922076</v>
      </c>
      <c r="T163" s="134">
        <f>(AA152/1000)*S163</f>
        <v>0</v>
      </c>
      <c r="U163" s="135"/>
      <c r="V163" s="36" t="str">
        <f>IF(G154&lt;&gt;"Fixed","No",IF(H154&lt;&gt;5,"No","Yes"))</f>
        <v>No</v>
      </c>
      <c r="W163" s="36"/>
      <c r="X163" s="36"/>
      <c r="Y163" s="36"/>
      <c r="Z163" s="36"/>
      <c r="AA163" s="36"/>
      <c r="AB163" s="36"/>
      <c r="AC163" s="36"/>
    </row>
    <row r="164" spans="12:29">
      <c r="L164" s="36"/>
      <c r="M164" s="36"/>
      <c r="N164" s="36"/>
      <c r="O164" s="36"/>
      <c r="P164" s="36"/>
      <c r="Q164" s="36"/>
      <c r="R164" s="36"/>
      <c r="S164" s="36"/>
      <c r="T164" s="36"/>
      <c r="U164" s="79"/>
      <c r="V164" s="79"/>
      <c r="W164" s="36"/>
      <c r="X164" s="36"/>
      <c r="Y164" s="36"/>
      <c r="Z164" s="36"/>
      <c r="AA164" s="36"/>
      <c r="AB164" s="36"/>
      <c r="AC164" s="36"/>
    </row>
    <row r="165" spans="12:29">
      <c r="L165" s="126" t="s">
        <v>575</v>
      </c>
      <c r="M165" s="36"/>
      <c r="N165" s="36"/>
      <c r="O165" s="36"/>
      <c r="P165" s="36"/>
      <c r="Q165" s="36"/>
      <c r="R165" s="36"/>
      <c r="S165" s="36"/>
      <c r="T165" s="79">
        <v>1</v>
      </c>
      <c r="U165" s="79">
        <f>SUM(T165*12)</f>
        <v>12</v>
      </c>
      <c r="V165" s="79">
        <f>SUM(U165*100)/6.34</f>
        <v>189.27444794952683</v>
      </c>
      <c r="W165" s="36"/>
      <c r="X165" s="36"/>
      <c r="Y165" s="36"/>
      <c r="Z165" s="36"/>
      <c r="AA165" s="36"/>
      <c r="AB165" s="36"/>
      <c r="AC165" s="36"/>
    </row>
    <row r="166" spans="12:29">
      <c r="L166" s="36"/>
      <c r="M166" s="36"/>
      <c r="N166" s="36"/>
      <c r="O166" s="36"/>
      <c r="P166" s="36"/>
      <c r="Q166" s="36"/>
      <c r="R166" s="36"/>
      <c r="S166" s="36"/>
      <c r="T166" s="79">
        <v>2</v>
      </c>
      <c r="U166" s="79">
        <f>SUM(T166*12)</f>
        <v>24</v>
      </c>
      <c r="V166" s="79">
        <f>SUM(U166*100)/6.34</f>
        <v>378.54889589905366</v>
      </c>
      <c r="W166" s="36"/>
      <c r="X166" s="36"/>
      <c r="Y166" s="36"/>
      <c r="Z166" s="36"/>
      <c r="AA166" s="36"/>
      <c r="AB166" s="36"/>
      <c r="AC166" s="36"/>
    </row>
    <row r="167" spans="12:29">
      <c r="L167" s="52" t="s">
        <v>585</v>
      </c>
      <c r="M167" s="36"/>
      <c r="N167" s="36"/>
      <c r="O167" s="36"/>
      <c r="P167" s="36"/>
      <c r="Q167" s="36"/>
      <c r="R167" s="36"/>
      <c r="S167" s="36"/>
      <c r="T167" s="79"/>
      <c r="U167" s="79"/>
      <c r="V167" s="79"/>
      <c r="W167" s="36"/>
      <c r="X167" s="36"/>
      <c r="Y167" s="36"/>
      <c r="Z167" s="36"/>
      <c r="AA167" s="36"/>
      <c r="AB167" s="36"/>
      <c r="AC167" s="36"/>
    </row>
    <row r="168" spans="12:29">
      <c r="L168" s="52" t="s">
        <v>576</v>
      </c>
      <c r="M168" s="36"/>
      <c r="N168" s="36"/>
      <c r="O168" s="52" t="s">
        <v>611</v>
      </c>
      <c r="P168" s="36"/>
      <c r="Q168" s="36"/>
      <c r="R168" s="36"/>
      <c r="S168" s="36"/>
      <c r="T168" s="79"/>
      <c r="U168" s="79"/>
      <c r="V168" s="79"/>
      <c r="W168" s="36"/>
      <c r="X168" s="36"/>
      <c r="Y168" s="36"/>
      <c r="Z168" s="36"/>
      <c r="AA168" s="36"/>
      <c r="AB168" s="36"/>
      <c r="AC168" s="36"/>
    </row>
    <row r="169" spans="12:29">
      <c r="L169" s="52" t="s">
        <v>172</v>
      </c>
      <c r="M169" s="36"/>
      <c r="N169" s="36"/>
      <c r="O169" s="52" t="s">
        <v>612</v>
      </c>
      <c r="P169" s="36"/>
      <c r="Q169" s="36"/>
      <c r="R169" s="36"/>
      <c r="S169" s="36"/>
      <c r="T169" s="79">
        <v>5</v>
      </c>
      <c r="U169" s="79">
        <f>SUM(T169*12)</f>
        <v>60</v>
      </c>
      <c r="V169" s="79">
        <f>SUM(U169*100)/6.34</f>
        <v>946.37223974763413</v>
      </c>
      <c r="W169" s="36"/>
      <c r="X169" s="36"/>
      <c r="Y169" s="36"/>
      <c r="Z169" s="36"/>
      <c r="AA169" s="36"/>
      <c r="AB169" s="36"/>
      <c r="AC169" s="36"/>
    </row>
    <row r="170" spans="12:29">
      <c r="L170" s="52" t="s">
        <v>206</v>
      </c>
      <c r="M170" s="36"/>
      <c r="N170" s="36"/>
      <c r="O170" s="52" t="s">
        <v>774</v>
      </c>
      <c r="P170" s="36"/>
      <c r="Q170" s="36"/>
      <c r="R170" s="36"/>
      <c r="S170" s="36"/>
      <c r="T170" s="36"/>
      <c r="U170" s="36"/>
      <c r="V170" s="36"/>
      <c r="W170" s="36"/>
      <c r="X170" s="36"/>
      <c r="Y170" s="36"/>
      <c r="Z170" s="36"/>
      <c r="AA170" s="36"/>
      <c r="AB170" s="36"/>
      <c r="AC170" s="36"/>
    </row>
    <row r="171" spans="12:29">
      <c r="L171" s="36"/>
      <c r="M171" s="36"/>
      <c r="N171" s="36"/>
      <c r="O171" s="36"/>
      <c r="P171" s="36"/>
      <c r="Q171" s="36"/>
      <c r="R171" s="36"/>
      <c r="S171" s="36"/>
      <c r="T171" s="36"/>
      <c r="U171" s="36"/>
      <c r="V171" s="36"/>
      <c r="W171" s="36"/>
      <c r="X171" s="36"/>
      <c r="Y171" s="36"/>
      <c r="Z171" s="36"/>
      <c r="AA171" s="36"/>
      <c r="AB171" s="36"/>
      <c r="AC171" s="36"/>
    </row>
    <row r="172" spans="12:29">
      <c r="S172" s="104"/>
      <c r="T172" s="93" t="s">
        <v>582</v>
      </c>
      <c r="U172" s="93" t="s">
        <v>583</v>
      </c>
      <c r="V172" s="93" t="s">
        <v>584</v>
      </c>
    </row>
    <row r="173" spans="12:29">
      <c r="S173" s="104" t="s">
        <v>644</v>
      </c>
      <c r="T173" s="105">
        <v>1933.7</v>
      </c>
      <c r="U173" s="105">
        <f>SUM(T173*12)</f>
        <v>23204.400000000001</v>
      </c>
      <c r="V173" s="105">
        <f>SUM(U173*100)/6.34</f>
        <v>366000</v>
      </c>
    </row>
    <row r="175" spans="12:29">
      <c r="L175" s="631" t="s">
        <v>835</v>
      </c>
      <c r="M175" s="127"/>
      <c r="N175" s="127"/>
    </row>
    <row r="176" spans="12:29" ht="17.399999999999999">
      <c r="L176" s="94" t="s">
        <v>575</v>
      </c>
      <c r="V176" s="95"/>
    </row>
    <row r="177" spans="12:22">
      <c r="V177" s="34"/>
    </row>
    <row r="178" spans="12:22">
      <c r="L178" s="262" t="s">
        <v>576</v>
      </c>
      <c r="M178" s="43" t="str">
        <f>IF(L178=L168,O168,IF(L178=L169,O169,IF(L178=L170,O170)))</f>
        <v>Please complete the Capital repayment amount required</v>
      </c>
      <c r="V178" s="34"/>
    </row>
    <row r="179" spans="12:22">
      <c r="U179" s="41"/>
      <c r="V179" s="41"/>
    </row>
    <row r="180" spans="12:22">
      <c r="L180" s="40" t="s">
        <v>581</v>
      </c>
      <c r="M180" s="996">
        <v>40</v>
      </c>
      <c r="N180" s="96" t="s">
        <v>561</v>
      </c>
      <c r="P180" s="47" t="s">
        <v>773</v>
      </c>
      <c r="V180" s="61"/>
    </row>
    <row r="181" spans="12:22">
      <c r="L181" s="40"/>
      <c r="M181" s="997"/>
      <c r="N181" s="96"/>
      <c r="P181" s="47"/>
      <c r="V181" s="61"/>
    </row>
    <row r="182" spans="12:22">
      <c r="L182" s="40" t="s">
        <v>778</v>
      </c>
      <c r="M182" s="998">
        <v>700000</v>
      </c>
      <c r="N182" s="96"/>
      <c r="P182" s="524" t="s">
        <v>779</v>
      </c>
      <c r="Q182" s="555">
        <f>(M184+M186)/M182</f>
        <v>0.51428571428571423</v>
      </c>
      <c r="V182" s="61"/>
    </row>
    <row r="183" spans="12:22">
      <c r="U183" s="97"/>
      <c r="V183" s="95"/>
    </row>
    <row r="184" spans="12:22">
      <c r="L184" s="34" t="s">
        <v>578</v>
      </c>
      <c r="M184" s="999">
        <v>360000</v>
      </c>
      <c r="N184" s="73" t="s">
        <v>607</v>
      </c>
      <c r="P184" s="98" t="str">
        <f>IF(L178=L147,"",IF(L178=L148,"DO NOT COMPLETE CAPITAL REPAYMENT AMOUNT IF INTEREST-ONLY",IF(L178=L149,"The maximum Capital Repayment element we can consider is £"&amp;FLOOR(O149-M186,1000))))</f>
        <v/>
      </c>
      <c r="U184" s="95"/>
      <c r="V184" s="34"/>
    </row>
    <row r="185" spans="12:22">
      <c r="V185" s="34"/>
    </row>
    <row r="186" spans="12:22">
      <c r="L186" s="40" t="s">
        <v>579</v>
      </c>
      <c r="M186" s="999">
        <v>0</v>
      </c>
      <c r="N186" s="73" t="s">
        <v>608</v>
      </c>
      <c r="P186" s="98" t="str">
        <f>IF(L178="Capital Repayment","DO NOT COMPLETE INTEREST-ONLY AMOUNT IF CAPITAL REPAYMENT","")</f>
        <v>DO NOT COMPLETE INTEREST-ONLY AMOUNT IF CAPITAL REPAYMENT</v>
      </c>
      <c r="V186" s="34"/>
    </row>
    <row r="187" spans="12:22">
      <c r="T187" s="41"/>
      <c r="U187" s="70"/>
      <c r="V187" s="34"/>
    </row>
    <row r="188" spans="12:22">
      <c r="L188" s="40" t="s">
        <v>580</v>
      </c>
      <c r="M188" s="65">
        <f>SUM(M184+M186)</f>
        <v>360000</v>
      </c>
      <c r="V188" s="34"/>
    </row>
    <row r="189" spans="12:22">
      <c r="U189" s="34"/>
      <c r="V189" s="34"/>
    </row>
    <row r="190" spans="12:22" ht="17.399999999999999">
      <c r="L190" s="99" t="e">
        <f>IF(M180=0,"",IF(L178=L168,"The approx. maximum loan we can consider subject to affordability on a Capital Repayment basis is £"&amp;FLOOR(O147,1000),IF(L178=L169,"The approx. maximum loan we can consider subject to affordability on an Interest-only basis is £"&amp;FLOOR(O148,1000),IF(M186=0,"",IF(L178=L170,"The approx. maximum loan we can consider subject to affordability on a Part &amp; Part basis is £"&amp;FLOOR(O149,1000))))))</f>
        <v>#REF!</v>
      </c>
      <c r="V190" s="34"/>
    </row>
    <row r="191" spans="12:22">
      <c r="U191" s="34"/>
      <c r="V191" s="34"/>
    </row>
    <row r="192" spans="12:22" ht="17.399999999999999">
      <c r="L192" s="102" t="e">
        <f>IF(M188=0,"",IF(M188&gt;O154,"Exceeds maximum permitted - please review the loan amount","Okay to proceed - please complete affordability tabs"))</f>
        <v>#REF!</v>
      </c>
      <c r="U192" s="34"/>
      <c r="V192" s="34"/>
    </row>
    <row r="193" spans="12:22">
      <c r="U193" s="34"/>
      <c r="V193" s="34"/>
    </row>
    <row r="194" spans="12:22">
      <c r="L194" s="240" t="s">
        <v>823</v>
      </c>
      <c r="V194" s="34"/>
    </row>
    <row r="195" spans="12:22">
      <c r="V195" s="34"/>
    </row>
    <row r="196" spans="12:22">
      <c r="L196" s="1164" t="s">
        <v>735</v>
      </c>
      <c r="M196" s="1165"/>
      <c r="N196" s="1165"/>
      <c r="O196" s="1165"/>
      <c r="P196" s="1165"/>
      <c r="Q196" s="1165"/>
      <c r="R196" s="1165"/>
      <c r="S196" s="1165"/>
      <c r="T196" s="1165"/>
      <c r="U196" s="1165"/>
      <c r="V196" s="34"/>
    </row>
    <row r="197" spans="12:22">
      <c r="V197" s="34"/>
    </row>
  </sheetData>
  <sheetProtection algorithmName="SHA-512" hashValue="edTphGgpDtuhR0eux9aJCmmbPxL85U94+/PG9Dw6PyfN2S9OvV0n2qzrPa0tjCdG6FlB1bwBZpzUp0YI4W3DuA==" saltValue="P+auD1sKVV+QfYtGrnbP4A==" spinCount="100000" sheet="1" objects="1" scenarios="1"/>
  <mergeCells count="23">
    <mergeCell ref="H50:J50"/>
    <mergeCell ref="B2:C2"/>
    <mergeCell ref="B3:C3"/>
    <mergeCell ref="E2:F2"/>
    <mergeCell ref="E3:F3"/>
    <mergeCell ref="B4:C4"/>
    <mergeCell ref="E4:F4"/>
    <mergeCell ref="L196:U196"/>
    <mergeCell ref="E5:F5"/>
    <mergeCell ref="H15:J15"/>
    <mergeCell ref="E39:F39"/>
    <mergeCell ref="H16:J16"/>
    <mergeCell ref="H33:J33"/>
    <mergeCell ref="H68:J68"/>
    <mergeCell ref="B45:F45"/>
    <mergeCell ref="B39:C39"/>
    <mergeCell ref="B10:F10"/>
    <mergeCell ref="B5:C5"/>
    <mergeCell ref="H49:J49"/>
    <mergeCell ref="B40:C40"/>
    <mergeCell ref="E40:F40"/>
    <mergeCell ref="H59:J60"/>
    <mergeCell ref="H8:I8"/>
  </mergeCells>
  <phoneticPr fontId="3" type="noConversion"/>
  <conditionalFormatting sqref="L192">
    <cfRule type="containsText" dxfId="115" priority="2" stopIfTrue="1" operator="containsText" text="Exceeds">
      <formula>NOT(ISERROR(SEARCH("Exceeds",L192)))</formula>
    </cfRule>
  </conditionalFormatting>
  <conditionalFormatting sqref="N103">
    <cfRule type="cellIs" dxfId="114" priority="85" operator="greaterThan">
      <formula>$S$88</formula>
    </cfRule>
    <cfRule type="cellIs" dxfId="113" priority="86" operator="lessThanOrEqual">
      <formula>$S$88</formula>
    </cfRule>
  </conditionalFormatting>
  <conditionalFormatting sqref="O103">
    <cfRule type="containsText" dxfId="112" priority="12" operator="containsText" text="FAIL">
      <formula>NOT(ISERROR(SEARCH("FAIL",O103)))</formula>
    </cfRule>
    <cfRule type="containsText" dxfId="111" priority="13" operator="containsText" text="PASS">
      <formula>NOT(ISERROR(SEARCH("PASS",O103)))</formula>
    </cfRule>
  </conditionalFormatting>
  <conditionalFormatting sqref="O113">
    <cfRule type="cellIs" dxfId="110" priority="5" stopIfTrue="1" operator="lessThan">
      <formula>0</formula>
    </cfRule>
  </conditionalFormatting>
  <conditionalFormatting sqref="O126">
    <cfRule type="cellIs" dxfId="109" priority="3" stopIfTrue="1" operator="lessThan">
      <formula>0</formula>
    </cfRule>
  </conditionalFormatting>
  <conditionalFormatting sqref="P180:P182">
    <cfRule type="expression" dxfId="108" priority="1" stopIfTrue="1">
      <formula>$M$180=0</formula>
    </cfRule>
  </conditionalFormatting>
  <conditionalFormatting sqref="Q113">
    <cfRule type="cellIs" dxfId="107" priority="6" stopIfTrue="1" operator="lessThan">
      <formula>0</formula>
    </cfRule>
  </conditionalFormatting>
  <conditionalFormatting sqref="Q126">
    <cfRule type="cellIs" dxfId="106" priority="4" stopIfTrue="1" operator="lessThan">
      <formula>0</formula>
    </cfRule>
  </conditionalFormatting>
  <conditionalFormatting sqref="S92">
    <cfRule type="cellIs" dxfId="105" priority="10" operator="greaterThanOrEqual">
      <formula>0.25</formula>
    </cfRule>
    <cfRule type="cellIs" dxfId="104" priority="11" operator="lessThan">
      <formula>0.25</formula>
    </cfRule>
  </conditionalFormatting>
  <dataValidations count="17">
    <dataValidation allowBlank="1" showInputMessage="1" showErrorMessage="1" prompt="Basic Gross Salary" sqref="B47:B51 B12:B16 E12:E16 E47:E51" xr:uid="{00000000-0002-0000-0000-000000000000}"/>
    <dataValidation allowBlank="1" showInputMessage="1" showErrorMessage="1" prompt="Private or Company Pension" sqref="E18:E19 B18:B19 B53:B54 E53:E54" xr:uid="{00000000-0002-0000-0000-000006000000}"/>
    <dataValidation allowBlank="1" showInputMessage="1" showErrorMessage="1" promptTitle="Please include" prompt="Personal loan payments_x000a_Hire Purchase payments (including Interest Free)_x000a_Car Lease payments_x000a_Mobile phone loan payments _x000a__x000a_PLEASE ENTER MONTHLY AMOUNT_x000a__x000a_IMPORTANT - FOR JOINT LOANS ONLY COMPLETE FOR FIRST APPLICANT" sqref="E68 B68 B31 E31" xr:uid="{00000000-0002-0000-0000-000008000000}"/>
    <dataValidation allowBlank="1" showInputMessage="1" showErrorMessage="1" promptTitle="Please include" prompt="- Maintenance Payments Received by Court Order – 2 years minimum_x000a_- Bursary_x000a_PLEASE ENTER MONTHLY AMOUNT" sqref="E63:E64 B63:B64" xr:uid="{00000000-0002-0000-0000-00000B000000}"/>
    <dataValidation allowBlank="1" showInputMessage="1" showErrorMessage="1" promptTitle="Please include" prompt="Any other deductions from income AFTER tax" sqref="B26 E26" xr:uid="{00000000-0002-0000-0000-00000D000000}"/>
    <dataValidation allowBlank="1" showInputMessage="1" showErrorMessage="1" prompt="For joint cards enter just once" sqref="I69:I70 I34:I35" xr:uid="{00000000-0002-0000-0000-00000F000000}"/>
    <dataValidation allowBlank="1" showInputMessage="1" showErrorMessage="1" promptTitle="Please include" prompt="- Maintenance Payments Received by Court Order (2 years minimum)_x000a_- Bursary_x000a_PLEASE ENTER MONTHLY AMOUNT" sqref="B28:B29 E28:E29" xr:uid="{00000000-0002-0000-0000-000011000000}"/>
    <dataValidation allowBlank="1" showInputMessage="1" showErrorMessage="1" prompt="PLEASE ENTER MONTHLY AMOUNT" sqref="B33:B35 E33 B70:B72 E70" xr:uid="{00000000-0002-0000-0000-000012000000}"/>
    <dataValidation type="list" allowBlank="1" showInputMessage="1" showErrorMessage="1" sqref="F21:F23 F56:F58 F12:F16 C12:C16 F18:F19 F60:F61 C60:C61 F47:F51 F53:F54 C56:C58 C25:C26 C21:C23 C47:C51 C18:C19 F25:F26 C53:C54" xr:uid="{00000000-0002-0000-0000-000013000000}">
      <formula1>$Q$41:$Q$43</formula1>
    </dataValidation>
    <dataValidation type="list" allowBlank="1" showInputMessage="1" showErrorMessage="1" sqref="E5:E6 E40 B40 B5" xr:uid="{00000000-0002-0000-0000-000014000000}">
      <formula1>$P$41:$P$43</formula1>
    </dataValidation>
    <dataValidation allowBlank="1" showInputMessage="1" showErrorMessage="1" prompt="Please enter the supporting borrower's approximate mortgage balance outstanding" sqref="I62" xr:uid="{00000000-0002-0000-0000-000015000000}"/>
    <dataValidation allowBlank="1" showInputMessage="1" showErrorMessage="1" prompt="Please enter the supporting borrower's approximate mortgage term remaining" sqref="I64" xr:uid="{00000000-0002-0000-0000-000016000000}"/>
    <dataValidation allowBlank="1" showInputMessage="1" showErrorMessage="1" prompt="Enter capital repayment amount required._x000a__x000a_For Part &amp; Part also enter the Interest-only amount above before entering the repayment element." sqref="M184" xr:uid="{00000000-0002-0000-0000-000017000000}"/>
    <dataValidation allowBlank="1" showInputMessage="1" showErrorMessage="1" prompt="Enter Interest-only amount required._x000a__x000a_For Part &amp; Part also enter the Capital Repayment amount below." sqref="M186" xr:uid="{00000000-0002-0000-0000-000018000000}"/>
    <dataValidation allowBlank="1" showInputMessage="1" showErrorMessage="1" prompt="Enter mortgage term required in years." sqref="M180" xr:uid="{00000000-0002-0000-0000-000019000000}"/>
    <dataValidation type="list" allowBlank="1" showInputMessage="1" showErrorMessage="1" sqref="L178" xr:uid="{00000000-0002-0000-0000-00001A000000}">
      <formula1>$L$168:$L$170</formula1>
    </dataValidation>
    <dataValidation type="list" allowBlank="1" showErrorMessage="1" sqref="I66" xr:uid="{00000000-0002-0000-0000-00001B000000}">
      <formula1>$O$66:$O$67</formula1>
    </dataValidation>
  </dataValidations>
  <pageMargins left="0.25" right="0.25"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showGridLines="0" topLeftCell="AJ1" zoomScale="85" zoomScaleNormal="85" workbookViewId="0">
      <selection activeCell="BD13" sqref="BD13"/>
    </sheetView>
  </sheetViews>
  <sheetFormatPr defaultColWidth="9.109375" defaultRowHeight="13.2"/>
  <cols>
    <col min="1" max="1" width="52" style="569" hidden="1" customWidth="1"/>
    <col min="2" max="2" width="9.109375" style="641" hidden="1" customWidth="1"/>
    <col min="3" max="3" width="8.33203125" style="569" hidden="1" customWidth="1"/>
    <col min="4" max="4" width="14.33203125" style="569" hidden="1" customWidth="1"/>
    <col min="5" max="5" width="11.109375" style="569" hidden="1" customWidth="1"/>
    <col min="6" max="6" width="5.6640625" style="569" hidden="1" customWidth="1"/>
    <col min="7" max="7" width="14.33203125" style="569" hidden="1" customWidth="1"/>
    <col min="8" max="8" width="11.33203125" style="569" hidden="1" customWidth="1"/>
    <col min="9" max="9" width="8.6640625" style="569" hidden="1" customWidth="1"/>
    <col min="10" max="11" width="9.109375" style="641" hidden="1" customWidth="1"/>
    <col min="12" max="13" width="9.109375" style="569" hidden="1" customWidth="1"/>
    <col min="14" max="14" width="42.109375" style="569" hidden="1" customWidth="1"/>
    <col min="15" max="15" width="17.33203125" style="569" hidden="1" customWidth="1"/>
    <col min="16" max="16" width="13" style="569" hidden="1" customWidth="1"/>
    <col min="17" max="17" width="14.33203125" style="569" hidden="1" customWidth="1"/>
    <col min="18" max="18" width="12.6640625" style="569" hidden="1" customWidth="1"/>
    <col min="19" max="19" width="12.88671875" style="569" hidden="1" customWidth="1"/>
    <col min="20" max="20" width="11.6640625" style="569" hidden="1" customWidth="1"/>
    <col min="21" max="21" width="38" style="569" hidden="1" customWidth="1"/>
    <col min="22" max="31" width="11.6640625" style="569" hidden="1" customWidth="1"/>
    <col min="32" max="35" width="9.109375" style="569" hidden="1" customWidth="1"/>
    <col min="36" max="51" width="9.109375" style="569" customWidth="1"/>
    <col min="52" max="16384" width="9.109375" style="569"/>
  </cols>
  <sheetData>
    <row r="1" spans="1:35">
      <c r="B1" s="569"/>
    </row>
    <row r="2" spans="1:35">
      <c r="A2" s="1201" t="s">
        <v>751</v>
      </c>
      <c r="B2" s="1202"/>
      <c r="C2" s="1203"/>
      <c r="D2" s="25" t="s">
        <v>20</v>
      </c>
      <c r="E2" s="572" t="s">
        <v>1455</v>
      </c>
      <c r="N2" s="569" t="s">
        <v>26</v>
      </c>
    </row>
    <row r="3" spans="1:35">
      <c r="A3" s="1204"/>
      <c r="B3" s="1205"/>
      <c r="C3" s="1206"/>
      <c r="D3" s="570"/>
      <c r="E3" s="634" t="s">
        <v>908</v>
      </c>
      <c r="N3" s="571" t="s">
        <v>138</v>
      </c>
    </row>
    <row r="4" spans="1:35">
      <c r="B4" s="569"/>
      <c r="N4" s="571" t="s">
        <v>139</v>
      </c>
    </row>
    <row r="5" spans="1:35" ht="12.75" customHeight="1">
      <c r="A5" s="574" t="s">
        <v>381</v>
      </c>
      <c r="D5" s="1207" t="s">
        <v>720</v>
      </c>
      <c r="E5" s="1207"/>
      <c r="G5" s="1207" t="s">
        <v>721</v>
      </c>
      <c r="H5" s="1207"/>
      <c r="I5" s="573"/>
      <c r="N5" s="569" t="s">
        <v>380</v>
      </c>
    </row>
    <row r="7" spans="1:35">
      <c r="A7" s="569" t="s">
        <v>514</v>
      </c>
      <c r="D7" s="1210" t="str">
        <f>'Income &amp; Committed Expenditure'!B40</f>
        <v>No</v>
      </c>
      <c r="E7" s="1185"/>
      <c r="G7" s="1210" t="str">
        <f>'Income &amp; Committed Expenditure'!E40</f>
        <v>No</v>
      </c>
      <c r="H7" s="1185"/>
      <c r="K7" s="641" t="s">
        <v>26</v>
      </c>
      <c r="AE7" s="641"/>
      <c r="AI7" s="569" t="str">
        <f>'Support borrower Affordability'!F24</f>
        <v xml:space="preserve">*Below the state retirement age </v>
      </c>
    </row>
    <row r="8" spans="1:35">
      <c r="L8" s="641"/>
      <c r="M8" s="641"/>
      <c r="N8" s="641"/>
      <c r="Q8" s="569" t="s">
        <v>26</v>
      </c>
    </row>
    <row r="9" spans="1:35">
      <c r="A9" s="569" t="s">
        <v>450</v>
      </c>
      <c r="D9" s="1210" t="s">
        <v>138</v>
      </c>
      <c r="E9" s="1211"/>
      <c r="G9" s="1210" t="s">
        <v>380</v>
      </c>
      <c r="H9" s="1211"/>
      <c r="N9" s="992" t="s">
        <v>906</v>
      </c>
      <c r="O9" s="993" t="s">
        <v>905</v>
      </c>
      <c r="P9" s="994"/>
      <c r="Q9" s="569" t="s">
        <v>26</v>
      </c>
    </row>
    <row r="10" spans="1:35" ht="13.5" customHeight="1" thickBot="1">
      <c r="U10" s="992" t="s">
        <v>909</v>
      </c>
      <c r="V10" s="995" t="s">
        <v>910</v>
      </c>
      <c r="W10" s="995"/>
      <c r="X10" s="995"/>
    </row>
    <row r="11" spans="1:35" ht="12.75" customHeight="1">
      <c r="A11" s="1208" t="s">
        <v>382</v>
      </c>
      <c r="D11" s="1201" t="s">
        <v>227</v>
      </c>
      <c r="E11" s="1202"/>
      <c r="F11" s="1202"/>
      <c r="G11" s="1202"/>
      <c r="H11" s="1203"/>
      <c r="N11" s="576"/>
      <c r="O11" s="577" t="s">
        <v>13</v>
      </c>
      <c r="P11" s="578"/>
      <c r="Q11" s="579" t="s">
        <v>50</v>
      </c>
      <c r="S11" s="641" t="s">
        <v>13</v>
      </c>
    </row>
    <row r="12" spans="1:35">
      <c r="A12" s="1209"/>
      <c r="C12" s="641"/>
      <c r="I12" s="641"/>
      <c r="N12" s="580" t="s">
        <v>55</v>
      </c>
      <c r="O12" s="630">
        <f>SUM(Q12/52)</f>
        <v>241.73076923076923</v>
      </c>
      <c r="P12" s="727">
        <v>0.08</v>
      </c>
      <c r="Q12" s="728">
        <v>12570</v>
      </c>
      <c r="R12" s="581"/>
      <c r="S12" s="641" t="s">
        <v>7</v>
      </c>
    </row>
    <row r="13" spans="1:35">
      <c r="D13" s="27" t="s">
        <v>228</v>
      </c>
      <c r="E13" s="27" t="s">
        <v>229</v>
      </c>
      <c r="G13" s="27" t="s">
        <v>228</v>
      </c>
      <c r="H13" s="27" t="s">
        <v>229</v>
      </c>
      <c r="J13" s="724" t="s">
        <v>52</v>
      </c>
      <c r="K13" s="724" t="s">
        <v>52</v>
      </c>
      <c r="N13" s="580" t="s">
        <v>56</v>
      </c>
      <c r="O13" s="630">
        <v>967</v>
      </c>
      <c r="P13" s="727">
        <v>0.02</v>
      </c>
      <c r="Q13" s="728">
        <v>50270</v>
      </c>
      <c r="S13" s="641" t="s">
        <v>50</v>
      </c>
      <c r="U13" s="574" t="s">
        <v>384</v>
      </c>
      <c r="Z13" s="574" t="s">
        <v>384</v>
      </c>
    </row>
    <row r="14" spans="1:35" ht="13.8" thickBot="1">
      <c r="B14" s="582" t="s">
        <v>54</v>
      </c>
      <c r="C14" s="583"/>
      <c r="D14" s="27">
        <f>'Income &amp; Committed Expenditure'!B43</f>
        <v>0</v>
      </c>
      <c r="E14" s="27">
        <f>'Income &amp; Committed Expenditure'!C43</f>
        <v>0</v>
      </c>
      <c r="G14" s="27">
        <f>'Income &amp; Committed Expenditure'!E43</f>
        <v>0</v>
      </c>
      <c r="H14" s="27">
        <f>'Income &amp; Committed Expenditure'!F43</f>
        <v>0</v>
      </c>
      <c r="J14" s="724" t="s">
        <v>5</v>
      </c>
      <c r="K14" s="724" t="s">
        <v>5</v>
      </c>
      <c r="N14" s="584"/>
      <c r="O14" s="729"/>
      <c r="P14" s="729"/>
      <c r="Q14" s="730">
        <f>Q13-Q12</f>
        <v>37700</v>
      </c>
      <c r="R14" s="585"/>
      <c r="AF14" s="586"/>
      <c r="AI14" s="574" t="s">
        <v>383</v>
      </c>
    </row>
    <row r="15" spans="1:35" ht="12.75" customHeight="1">
      <c r="A15" s="28" t="s">
        <v>31</v>
      </c>
      <c r="B15" s="587" t="s">
        <v>32</v>
      </c>
      <c r="D15" s="641" t="s">
        <v>51</v>
      </c>
      <c r="E15" s="641" t="s">
        <v>4</v>
      </c>
      <c r="G15" s="641" t="s">
        <v>51</v>
      </c>
      <c r="H15" s="641" t="s">
        <v>4</v>
      </c>
      <c r="U15" s="574" t="s">
        <v>386</v>
      </c>
      <c r="Z15" s="574" t="s">
        <v>387</v>
      </c>
    </row>
    <row r="16" spans="1:35" ht="12.75" customHeight="1">
      <c r="A16" s="29"/>
      <c r="B16" s="587"/>
      <c r="N16" s="575" t="s">
        <v>53</v>
      </c>
      <c r="O16" s="724" t="s">
        <v>0</v>
      </c>
      <c r="P16" s="574"/>
      <c r="Q16" s="724" t="s">
        <v>1</v>
      </c>
    </row>
    <row r="17" spans="1:31" ht="12.75" customHeight="1">
      <c r="A17" s="29" t="s">
        <v>47</v>
      </c>
      <c r="B17" s="538">
        <v>1</v>
      </c>
      <c r="D17" s="590">
        <f>'Income &amp; Committed Expenditure'!B47</f>
        <v>0</v>
      </c>
      <c r="E17" s="537" t="str">
        <f>'Income &amp; Committed Expenditure'!C47</f>
        <v>Annually</v>
      </c>
      <c r="G17" s="588">
        <f>'Income &amp; Committed Expenditure'!E47</f>
        <v>0</v>
      </c>
      <c r="H17" s="537" t="str">
        <f>'Income &amp; Committed Expenditure'!F47</f>
        <v>Annually</v>
      </c>
      <c r="J17" s="641">
        <f>IF(D17="",0,IF(E17="Annually",D17*B17,IF(E17="Monthly",D17*B17*12,D17*B17*52)))</f>
        <v>0</v>
      </c>
      <c r="K17" s="641">
        <f>IF(G17="",0,IF(H17="Annually",G17*B17,IF(H17="Monthly",G17*B17*12,G17*B17*52)))</f>
        <v>0</v>
      </c>
      <c r="U17" s="569" t="s">
        <v>389</v>
      </c>
      <c r="V17" s="600">
        <f>SUM(J17:J43)-SUM(J46:J48)-V18</f>
        <v>0</v>
      </c>
      <c r="Z17" s="569" t="s">
        <v>389</v>
      </c>
      <c r="AA17" s="600"/>
      <c r="AB17" s="600">
        <f>SUM(K17:K43)-SUM(K46:K48)-AB18</f>
        <v>0</v>
      </c>
    </row>
    <row r="18" spans="1:31" ht="12.75" customHeight="1">
      <c r="A18" s="29" t="s">
        <v>33</v>
      </c>
      <c r="B18" s="538">
        <v>1</v>
      </c>
      <c r="D18" s="590">
        <f>'Income &amp; Committed Expenditure'!B48</f>
        <v>0</v>
      </c>
      <c r="E18" s="537" t="str">
        <f>'Income &amp; Committed Expenditure'!C48</f>
        <v>Annually</v>
      </c>
      <c r="G18" s="588">
        <f>'Income &amp; Committed Expenditure'!E48</f>
        <v>0</v>
      </c>
      <c r="H18" s="537" t="str">
        <f>'Income &amp; Committed Expenditure'!F48</f>
        <v>Annually</v>
      </c>
      <c r="J18" s="641">
        <f t="shared" ref="J18:J27" si="0">IF(D18="",0,IF(E18="Annually",D18*B18,IF(E18="Monthly",D18*B18*12,D18*B18*52)))</f>
        <v>0</v>
      </c>
      <c r="K18" s="641">
        <f t="shared" ref="K18:K28" si="1">IF(G18="",0,IF(H18="Annually",G18*B18,IF(H18="Monthly",G18*B18*12,G18*B18*52)))</f>
        <v>0</v>
      </c>
      <c r="N18" s="569" t="s">
        <v>385</v>
      </c>
      <c r="O18" s="589">
        <f>SUM(J17:J43)-SUM(J46:J48)</f>
        <v>0</v>
      </c>
      <c r="P18" s="589"/>
      <c r="Q18" s="589">
        <f>SUM(K17:K43)-SUM(K46:K48)</f>
        <v>0</v>
      </c>
      <c r="U18" s="569" t="s">
        <v>392</v>
      </c>
      <c r="V18" s="600">
        <f>J19</f>
        <v>0</v>
      </c>
      <c r="Z18" s="569" t="s">
        <v>392</v>
      </c>
      <c r="AA18" s="600"/>
      <c r="AB18" s="600">
        <f>K19</f>
        <v>0</v>
      </c>
    </row>
    <row r="19" spans="1:31" ht="12.75" customHeight="1">
      <c r="A19" s="29" t="s">
        <v>34</v>
      </c>
      <c r="B19" s="538">
        <v>1</v>
      </c>
      <c r="D19" s="590">
        <f>'Income &amp; Committed Expenditure'!B49</f>
        <v>0</v>
      </c>
      <c r="E19" s="537" t="str">
        <f>'Income &amp; Committed Expenditure'!C49</f>
        <v>Annually</v>
      </c>
      <c r="G19" s="588">
        <f>'Income &amp; Committed Expenditure'!E49</f>
        <v>0</v>
      </c>
      <c r="H19" s="537" t="str">
        <f>'Income &amp; Committed Expenditure'!F49</f>
        <v>Annually</v>
      </c>
      <c r="J19" s="641">
        <f t="shared" si="0"/>
        <v>0</v>
      </c>
      <c r="K19" s="641">
        <f t="shared" si="1"/>
        <v>0</v>
      </c>
      <c r="U19" s="569" t="s">
        <v>2</v>
      </c>
      <c r="V19" s="600">
        <f>V17+V18</f>
        <v>0</v>
      </c>
      <c r="Z19" s="569" t="s">
        <v>2</v>
      </c>
      <c r="AA19" s="600"/>
      <c r="AB19" s="600">
        <f>AB17+AB18</f>
        <v>0</v>
      </c>
    </row>
    <row r="20" spans="1:31" ht="12.75" customHeight="1">
      <c r="A20" s="30" t="s">
        <v>550</v>
      </c>
      <c r="B20" s="538">
        <v>1</v>
      </c>
      <c r="D20" s="590">
        <f>'Income &amp; Committed Expenditure'!B50</f>
        <v>0</v>
      </c>
      <c r="E20" s="537" t="str">
        <f>'Income &amp; Committed Expenditure'!C50</f>
        <v>Annually</v>
      </c>
      <c r="G20" s="588">
        <f>'Income &amp; Committed Expenditure'!E50</f>
        <v>0</v>
      </c>
      <c r="H20" s="537" t="str">
        <f>'Income &amp; Committed Expenditure'!F50</f>
        <v>Annually</v>
      </c>
      <c r="J20" s="641">
        <f t="shared" si="0"/>
        <v>0</v>
      </c>
      <c r="K20" s="641">
        <f t="shared" si="1"/>
        <v>0</v>
      </c>
      <c r="N20" s="569" t="s">
        <v>388</v>
      </c>
      <c r="O20" s="581">
        <f>SUM(O18-O22)</f>
        <v>0</v>
      </c>
      <c r="Q20" s="589">
        <f>SUM(Q18-Q22)</f>
        <v>0</v>
      </c>
      <c r="U20" s="569" t="s">
        <v>851</v>
      </c>
      <c r="V20" s="600">
        <v>12570</v>
      </c>
      <c r="Z20" s="569" t="s">
        <v>851</v>
      </c>
      <c r="AA20" s="600"/>
      <c r="AB20" s="600">
        <v>12570</v>
      </c>
    </row>
    <row r="21" spans="1:31" ht="12.75" customHeight="1">
      <c r="A21" s="29" t="s">
        <v>48</v>
      </c>
      <c r="B21" s="538">
        <v>1</v>
      </c>
      <c r="D21" s="590">
        <v>0</v>
      </c>
      <c r="E21" s="537" t="s">
        <v>7</v>
      </c>
      <c r="G21" s="590">
        <v>0</v>
      </c>
      <c r="H21" s="537" t="s">
        <v>7</v>
      </c>
      <c r="J21" s="641">
        <f t="shared" si="0"/>
        <v>0</v>
      </c>
      <c r="K21" s="641">
        <f t="shared" si="1"/>
        <v>0</v>
      </c>
      <c r="W21" s="592" t="s">
        <v>389</v>
      </c>
      <c r="X21" s="592" t="s">
        <v>391</v>
      </c>
      <c r="AC21" s="592" t="s">
        <v>389</v>
      </c>
      <c r="AD21" s="592" t="s">
        <v>391</v>
      </c>
    </row>
    <row r="22" spans="1:31" ht="12.75" customHeight="1">
      <c r="A22" s="29" t="s">
        <v>49</v>
      </c>
      <c r="B22" s="538">
        <v>1</v>
      </c>
      <c r="D22" s="590">
        <v>0</v>
      </c>
      <c r="E22" s="537" t="s">
        <v>7</v>
      </c>
      <c r="G22" s="590">
        <v>0</v>
      </c>
      <c r="H22" s="537" t="s">
        <v>7</v>
      </c>
      <c r="J22" s="641">
        <f t="shared" si="0"/>
        <v>0</v>
      </c>
      <c r="K22" s="641">
        <f t="shared" si="1"/>
        <v>0</v>
      </c>
      <c r="N22" s="569" t="s">
        <v>390</v>
      </c>
      <c r="O22" s="589">
        <f>J19</f>
        <v>0</v>
      </c>
      <c r="Q22" s="589">
        <f>K19</f>
        <v>0</v>
      </c>
      <c r="U22" s="569" t="s">
        <v>852</v>
      </c>
      <c r="V22" s="731">
        <v>500</v>
      </c>
      <c r="W22" s="656"/>
      <c r="X22" s="657">
        <v>0</v>
      </c>
      <c r="Z22" s="569" t="s">
        <v>852</v>
      </c>
      <c r="AB22" s="731">
        <v>500</v>
      </c>
      <c r="AC22" s="656"/>
      <c r="AD22" s="657">
        <v>0</v>
      </c>
    </row>
    <row r="23" spans="1:31" ht="12.75" customHeight="1">
      <c r="A23" s="29" t="s">
        <v>35</v>
      </c>
      <c r="B23" s="538">
        <v>1</v>
      </c>
      <c r="D23" s="590">
        <v>0</v>
      </c>
      <c r="E23" s="537" t="s">
        <v>7</v>
      </c>
      <c r="G23" s="590">
        <v>0</v>
      </c>
      <c r="H23" s="537" t="s">
        <v>7</v>
      </c>
      <c r="J23" s="641">
        <f t="shared" si="0"/>
        <v>0</v>
      </c>
      <c r="K23" s="641">
        <f t="shared" si="1"/>
        <v>0</v>
      </c>
      <c r="M23" s="641"/>
      <c r="T23" s="591"/>
      <c r="U23" s="648" t="s">
        <v>393</v>
      </c>
      <c r="V23" s="658">
        <v>37700</v>
      </c>
      <c r="W23" s="659">
        <v>0.2</v>
      </c>
      <c r="X23" s="660">
        <v>8.7499999999999994E-2</v>
      </c>
      <c r="Y23" s="648"/>
      <c r="Z23" s="648" t="s">
        <v>393</v>
      </c>
      <c r="AA23" s="648"/>
      <c r="AB23" s="658">
        <v>37700</v>
      </c>
      <c r="AC23" s="659">
        <v>0.2</v>
      </c>
      <c r="AD23" s="660">
        <v>8.7499999999999994E-2</v>
      </c>
    </row>
    <row r="24" spans="1:31" ht="12.75" customHeight="1">
      <c r="A24" s="29" t="s">
        <v>36</v>
      </c>
      <c r="B24" s="538">
        <v>1</v>
      </c>
      <c r="D24" s="590">
        <v>0</v>
      </c>
      <c r="E24" s="537" t="s">
        <v>7</v>
      </c>
      <c r="G24" s="590">
        <v>0</v>
      </c>
      <c r="H24" s="537" t="s">
        <v>7</v>
      </c>
      <c r="J24" s="641">
        <f t="shared" si="0"/>
        <v>0</v>
      </c>
      <c r="K24" s="641">
        <f t="shared" si="1"/>
        <v>0</v>
      </c>
      <c r="U24" s="569" t="s">
        <v>409</v>
      </c>
      <c r="V24" s="731">
        <v>125140</v>
      </c>
      <c r="W24" s="661">
        <v>0.4</v>
      </c>
      <c r="X24" s="657">
        <v>0.33750000000000002</v>
      </c>
      <c r="Z24" s="569" t="s">
        <v>409</v>
      </c>
      <c r="AB24" s="731">
        <v>125140</v>
      </c>
      <c r="AC24" s="661">
        <v>0.4</v>
      </c>
      <c r="AD24" s="657">
        <v>0.33750000000000002</v>
      </c>
    </row>
    <row r="25" spans="1:31" ht="12.75" customHeight="1">
      <c r="A25" s="29" t="s">
        <v>37</v>
      </c>
      <c r="B25" s="538">
        <v>1</v>
      </c>
      <c r="D25" s="590">
        <v>0</v>
      </c>
      <c r="E25" s="537" t="s">
        <v>7</v>
      </c>
      <c r="G25" s="590">
        <v>0</v>
      </c>
      <c r="H25" s="537" t="s">
        <v>7</v>
      </c>
      <c r="J25" s="641">
        <f t="shared" si="0"/>
        <v>0</v>
      </c>
      <c r="K25" s="641">
        <f t="shared" si="1"/>
        <v>0</v>
      </c>
      <c r="L25" s="569" t="s">
        <v>26</v>
      </c>
      <c r="T25" s="592"/>
      <c r="U25" s="571" t="s">
        <v>394</v>
      </c>
      <c r="V25" s="662"/>
      <c r="W25" s="663">
        <v>0.45</v>
      </c>
      <c r="X25" s="664">
        <v>0.39350000000000002</v>
      </c>
      <c r="Y25" s="592"/>
      <c r="Z25" s="592" t="s">
        <v>394</v>
      </c>
      <c r="AA25" s="592"/>
      <c r="AB25" s="662"/>
      <c r="AC25" s="663">
        <v>0.45</v>
      </c>
      <c r="AD25" s="664">
        <v>0.39350000000000002</v>
      </c>
    </row>
    <row r="26" spans="1:31" ht="12.75" customHeight="1">
      <c r="A26" s="29" t="s">
        <v>38</v>
      </c>
      <c r="B26" s="538">
        <v>1</v>
      </c>
      <c r="D26" s="590">
        <v>0</v>
      </c>
      <c r="E26" s="537" t="s">
        <v>7</v>
      </c>
      <c r="G26" s="590">
        <v>0</v>
      </c>
      <c r="H26" s="537" t="s">
        <v>7</v>
      </c>
      <c r="J26" s="641">
        <f t="shared" si="0"/>
        <v>0</v>
      </c>
      <c r="K26" s="641">
        <f t="shared" si="1"/>
        <v>0</v>
      </c>
      <c r="L26" s="569" t="s">
        <v>26</v>
      </c>
      <c r="O26" s="591"/>
      <c r="T26" s="591"/>
      <c r="U26" s="648"/>
      <c r="V26" s="648"/>
      <c r="W26" s="648"/>
      <c r="X26" s="648"/>
      <c r="Y26" s="648"/>
      <c r="Z26" s="648"/>
      <c r="AA26" s="648"/>
      <c r="AB26" s="648"/>
      <c r="AC26" s="648"/>
      <c r="AD26" s="648"/>
    </row>
    <row r="27" spans="1:31" ht="12.75" customHeight="1">
      <c r="A27" s="29" t="s">
        <v>46</v>
      </c>
      <c r="B27" s="538">
        <v>1</v>
      </c>
      <c r="D27" s="590">
        <v>0</v>
      </c>
      <c r="E27" s="537" t="s">
        <v>7</v>
      </c>
      <c r="G27" s="590">
        <v>0</v>
      </c>
      <c r="H27" s="537" t="s">
        <v>7</v>
      </c>
      <c r="J27" s="641">
        <f t="shared" si="0"/>
        <v>0</v>
      </c>
      <c r="K27" s="641">
        <f t="shared" si="1"/>
        <v>0</v>
      </c>
      <c r="T27" s="591"/>
      <c r="U27" s="648" t="s">
        <v>395</v>
      </c>
      <c r="V27" s="658">
        <v>100000</v>
      </c>
      <c r="W27" s="648"/>
      <c r="X27" s="648"/>
      <c r="Y27" s="648"/>
      <c r="Z27" s="648" t="s">
        <v>395</v>
      </c>
      <c r="AA27" s="648"/>
      <c r="AB27" s="658">
        <v>100000</v>
      </c>
      <c r="AC27" s="648"/>
      <c r="AD27" s="648"/>
    </row>
    <row r="28" spans="1:31" ht="12.75" customHeight="1">
      <c r="A28" s="29" t="s">
        <v>436</v>
      </c>
      <c r="B28" s="538">
        <v>1</v>
      </c>
      <c r="D28" s="590">
        <v>0</v>
      </c>
      <c r="E28" s="537" t="s">
        <v>7</v>
      </c>
      <c r="G28" s="590">
        <v>0</v>
      </c>
      <c r="H28" s="537" t="s">
        <v>7</v>
      </c>
      <c r="J28" s="641">
        <f>IF(D28="",0,IF(E28="Annually",D28*B28,IF(E28="Monthly",D28*B28*12,D28*B28*52)))</f>
        <v>0</v>
      </c>
      <c r="K28" s="641">
        <f t="shared" si="1"/>
        <v>0</v>
      </c>
      <c r="U28" s="569" t="s">
        <v>853</v>
      </c>
      <c r="V28" s="600">
        <f>IF(V19&lt;V27,0,(V19-V27)/2)</f>
        <v>0</v>
      </c>
      <c r="Z28" s="569" t="s">
        <v>853</v>
      </c>
      <c r="AB28" s="600">
        <f>IF(AB19&lt;AB27,0,(AB19-AB27)/2)</f>
        <v>0</v>
      </c>
    </row>
    <row r="29" spans="1:31" ht="12.75" customHeight="1">
      <c r="O29" s="591"/>
      <c r="P29" s="591"/>
      <c r="Q29" s="591"/>
      <c r="U29" s="569" t="s">
        <v>854</v>
      </c>
      <c r="V29" s="600">
        <f>IF(V28&gt;V20,0,IF(V28=0,V20,V20-V28))</f>
        <v>12570</v>
      </c>
      <c r="W29" s="597"/>
      <c r="X29" s="597"/>
      <c r="Y29" s="597"/>
      <c r="Z29" s="569" t="s">
        <v>854</v>
      </c>
      <c r="AB29" s="600">
        <f>IF(AB28&gt;AB20,0,IF(AB28=0,AB20,AB20-AB28))</f>
        <v>12570</v>
      </c>
      <c r="AC29" s="597"/>
      <c r="AD29" s="597"/>
      <c r="AE29" s="593"/>
    </row>
    <row r="30" spans="1:31" ht="12.75" customHeight="1">
      <c r="A30" s="30" t="s">
        <v>562</v>
      </c>
      <c r="B30" s="538">
        <v>0.5</v>
      </c>
      <c r="D30" s="590">
        <f>'Income &amp; Committed Expenditure'!B51</f>
        <v>0</v>
      </c>
      <c r="E30" s="537" t="str">
        <f>'Income &amp; Committed Expenditure'!C51</f>
        <v>Annually</v>
      </c>
      <c r="G30" s="590">
        <f>'Income &amp; Committed Expenditure'!E51</f>
        <v>0</v>
      </c>
      <c r="H30" s="537" t="str">
        <f>'Income &amp; Committed Expenditure'!F51</f>
        <v>Annually</v>
      </c>
      <c r="J30" s="641">
        <f t="shared" ref="J30:J37" si="2">IF(D30="",0,IF(E30="Annually",D30*B30,IF(E30="Monthly",D30*B30*12,D30*B30*52)))</f>
        <v>0</v>
      </c>
      <c r="K30" s="641">
        <f t="shared" ref="K30:K37" si="3">IF(G30="",0,IF(H30="Annually",G30*B30,IF(H30="Monthly",G30*B30*12,G30*B30*52)))</f>
        <v>0</v>
      </c>
      <c r="N30" s="595"/>
      <c r="O30" s="596"/>
      <c r="P30" s="596"/>
      <c r="Q30" s="596"/>
      <c r="U30" s="597" t="s">
        <v>855</v>
      </c>
      <c r="V30" s="600">
        <f>100000+(V20*2)</f>
        <v>125140</v>
      </c>
      <c r="W30" s="597"/>
      <c r="X30" s="597"/>
      <c r="Y30" s="597"/>
      <c r="Z30" s="597" t="s">
        <v>855</v>
      </c>
      <c r="AA30" s="597"/>
      <c r="AB30" s="600">
        <f>100000+(AB20*2)</f>
        <v>125140</v>
      </c>
      <c r="AC30" s="597"/>
      <c r="AD30" s="597"/>
      <c r="AE30" s="597"/>
    </row>
    <row r="31" spans="1:31" ht="12.75" customHeight="1">
      <c r="A31" s="29" t="s">
        <v>45</v>
      </c>
      <c r="B31" s="538">
        <v>0.5</v>
      </c>
      <c r="D31" s="590">
        <v>0</v>
      </c>
      <c r="E31" s="537" t="s">
        <v>7</v>
      </c>
      <c r="G31" s="590">
        <v>0</v>
      </c>
      <c r="H31" s="537" t="s">
        <v>7</v>
      </c>
      <c r="J31" s="641">
        <f t="shared" si="2"/>
        <v>0</v>
      </c>
      <c r="K31" s="641">
        <f t="shared" si="3"/>
        <v>0</v>
      </c>
      <c r="N31" s="569" t="s">
        <v>57</v>
      </c>
      <c r="O31" s="591">
        <f>IF(O20+J46&lt;Q12,0,IF(O20+J46&gt;$Q$13,$Q$14*$P$12,(O20+J46-Q12)*$P$12))</f>
        <v>0</v>
      </c>
      <c r="P31" s="591"/>
      <c r="Q31" s="591">
        <f>IF(Q20+K46&lt;Q12,0,IF(Q20+K46&gt;$Q$13,$Q$14*$P$12,(Q20+K46-Q12)*$P$12))</f>
        <v>0</v>
      </c>
      <c r="U31" s="597"/>
      <c r="V31" s="597"/>
      <c r="W31" s="597"/>
      <c r="X31" s="597"/>
      <c r="Y31" s="597"/>
      <c r="Z31" s="597"/>
      <c r="AA31" s="597"/>
      <c r="AB31" s="597"/>
      <c r="AC31" s="597"/>
      <c r="AD31" s="597"/>
      <c r="AE31" s="597"/>
    </row>
    <row r="32" spans="1:31" ht="12.75" customHeight="1">
      <c r="A32" s="29" t="s">
        <v>44</v>
      </c>
      <c r="B32" s="538">
        <v>0.5</v>
      </c>
      <c r="D32" s="590">
        <v>0</v>
      </c>
      <c r="E32" s="537" t="s">
        <v>7</v>
      </c>
      <c r="G32" s="590">
        <v>0</v>
      </c>
      <c r="H32" s="537" t="s">
        <v>7</v>
      </c>
      <c r="J32" s="641">
        <f t="shared" si="2"/>
        <v>0</v>
      </c>
      <c r="K32" s="641">
        <f t="shared" si="3"/>
        <v>0</v>
      </c>
      <c r="N32" s="569" t="s">
        <v>58</v>
      </c>
      <c r="O32" s="591">
        <f>IF(O20+J46&lt;$Q$13,0,(O20+J46-$Q$13)*$P$13)</f>
        <v>0</v>
      </c>
      <c r="P32" s="591"/>
      <c r="Q32" s="591">
        <f>IF(Q20+K46&lt;$Q$13,0,(Q20+K46-$Q$13)*$P$13)</f>
        <v>0</v>
      </c>
      <c r="U32" s="574" t="s">
        <v>856</v>
      </c>
      <c r="V32" s="600"/>
      <c r="Z32" s="574" t="s">
        <v>856</v>
      </c>
      <c r="AB32" s="600"/>
      <c r="AE32" s="641"/>
    </row>
    <row r="33" spans="1:31" ht="12.75" customHeight="1">
      <c r="A33" s="29" t="s">
        <v>39</v>
      </c>
      <c r="B33" s="538">
        <v>0.5</v>
      </c>
      <c r="D33" s="590">
        <v>0</v>
      </c>
      <c r="E33" s="537" t="s">
        <v>7</v>
      </c>
      <c r="G33" s="590">
        <v>0</v>
      </c>
      <c r="H33" s="537" t="s">
        <v>7</v>
      </c>
      <c r="J33" s="641">
        <f t="shared" si="2"/>
        <v>0</v>
      </c>
      <c r="K33" s="641">
        <f t="shared" si="3"/>
        <v>0</v>
      </c>
      <c r="N33" s="595"/>
      <c r="O33" s="596"/>
      <c r="P33" s="596"/>
      <c r="Q33" s="596"/>
      <c r="U33" s="569" t="s">
        <v>396</v>
      </c>
      <c r="V33" s="598">
        <f>IF(V20&gt;V19,V17,IF(V19&gt;V30,0,IF(V29&gt;V17,V17,V29)))</f>
        <v>0</v>
      </c>
      <c r="W33" s="652">
        <v>0</v>
      </c>
      <c r="X33" s="600">
        <f>W33*V33</f>
        <v>0</v>
      </c>
      <c r="Z33" s="569" t="s">
        <v>396</v>
      </c>
      <c r="AB33" s="598">
        <f>IF(AB20&gt;AB19,AB17,IF(AB19&gt;AB30,0,IF(AB29&gt;AB17,AB17,AB29)))</f>
        <v>0</v>
      </c>
      <c r="AC33" s="652">
        <v>0</v>
      </c>
      <c r="AD33" s="600">
        <f>AC33*AB33</f>
        <v>0</v>
      </c>
      <c r="AE33" s="641"/>
    </row>
    <row r="34" spans="1:31" ht="12.75" customHeight="1">
      <c r="A34" s="29" t="s">
        <v>40</v>
      </c>
      <c r="B34" s="538">
        <v>0.5</v>
      </c>
      <c r="D34" s="590">
        <v>0</v>
      </c>
      <c r="E34" s="537" t="s">
        <v>7</v>
      </c>
      <c r="G34" s="590">
        <v>0</v>
      </c>
      <c r="H34" s="537" t="s">
        <v>7</v>
      </c>
      <c r="J34" s="641">
        <f t="shared" si="2"/>
        <v>0</v>
      </c>
      <c r="K34" s="641">
        <f t="shared" si="3"/>
        <v>0</v>
      </c>
      <c r="N34" s="569" t="s">
        <v>59</v>
      </c>
      <c r="O34" s="596">
        <f>X34</f>
        <v>0</v>
      </c>
      <c r="P34" s="596"/>
      <c r="Q34" s="596">
        <f>AD34</f>
        <v>0</v>
      </c>
      <c r="R34" s="591"/>
      <c r="U34" s="569" t="s">
        <v>408</v>
      </c>
      <c r="V34" s="598">
        <f>IF(V17&lt;(V23+V33),V17-V33,IF(V17&lt;V24,V23,V23))</f>
        <v>0</v>
      </c>
      <c r="W34" s="652">
        <f>W23</f>
        <v>0.2</v>
      </c>
      <c r="X34" s="600">
        <f>W34*V34</f>
        <v>0</v>
      </c>
      <c r="Z34" s="569" t="s">
        <v>408</v>
      </c>
      <c r="AB34" s="598">
        <f>IF(AB17&lt;(AB23+AB33),AB17-AB33,IF(AB17&lt;AB24,AB23,AB23))</f>
        <v>0</v>
      </c>
      <c r="AC34" s="652">
        <f>AC23</f>
        <v>0.2</v>
      </c>
      <c r="AD34" s="600">
        <f t="shared" ref="AD34:AD36" si="4">AC34*AB34</f>
        <v>0</v>
      </c>
    </row>
    <row r="35" spans="1:31" ht="12.75" customHeight="1">
      <c r="A35" s="29" t="s">
        <v>437</v>
      </c>
      <c r="B35" s="538">
        <v>0.5</v>
      </c>
      <c r="D35" s="590">
        <v>0</v>
      </c>
      <c r="E35" s="537" t="s">
        <v>7</v>
      </c>
      <c r="G35" s="590">
        <v>0</v>
      </c>
      <c r="H35" s="537" t="s">
        <v>7</v>
      </c>
      <c r="J35" s="641">
        <f t="shared" si="2"/>
        <v>0</v>
      </c>
      <c r="K35" s="641">
        <f t="shared" si="3"/>
        <v>0</v>
      </c>
      <c r="N35" s="569" t="s">
        <v>60</v>
      </c>
      <c r="O35" s="596">
        <f t="shared" ref="O35" si="5">X35</f>
        <v>0</v>
      </c>
      <c r="P35" s="596"/>
      <c r="Q35" s="596">
        <f t="shared" ref="Q35" si="6">AD35</f>
        <v>0</v>
      </c>
      <c r="R35" s="591"/>
      <c r="U35" s="569" t="s">
        <v>409</v>
      </c>
      <c r="V35" s="598">
        <f>IF(V17&lt;V23+V29,0,IF(V17&lt;V24,V17-V34-V33,V24-V23))</f>
        <v>0</v>
      </c>
      <c r="W35" s="652">
        <f t="shared" ref="W35:W36" si="7">W24</f>
        <v>0.4</v>
      </c>
      <c r="X35" s="600">
        <f t="shared" ref="X35:X36" si="8">W35*V35</f>
        <v>0</v>
      </c>
      <c r="Z35" s="569" t="s">
        <v>409</v>
      </c>
      <c r="AB35" s="598">
        <f>IF(AB17&lt;AB23+AB29,0,IF(AB17&lt;AB24,AB17-AB34-AB33,AB24-AB23))</f>
        <v>0</v>
      </c>
      <c r="AC35" s="652">
        <f t="shared" ref="AC35:AC36" si="9">AC24</f>
        <v>0.4</v>
      </c>
      <c r="AD35" s="600">
        <f t="shared" si="4"/>
        <v>0</v>
      </c>
    </row>
    <row r="36" spans="1:31" ht="12.75" customHeight="1">
      <c r="A36" s="29" t="s">
        <v>438</v>
      </c>
      <c r="B36" s="538">
        <v>0.5</v>
      </c>
      <c r="D36" s="590">
        <v>0</v>
      </c>
      <c r="E36" s="537" t="s">
        <v>7</v>
      </c>
      <c r="G36" s="590">
        <v>0</v>
      </c>
      <c r="H36" s="537" t="s">
        <v>7</v>
      </c>
      <c r="J36" s="641">
        <f t="shared" si="2"/>
        <v>0</v>
      </c>
      <c r="K36" s="641">
        <f t="shared" si="3"/>
        <v>0</v>
      </c>
      <c r="N36" s="569" t="s">
        <v>116</v>
      </c>
      <c r="O36" s="596">
        <f>X36</f>
        <v>0</v>
      </c>
      <c r="P36" s="596"/>
      <c r="Q36" s="596">
        <f>AD36</f>
        <v>0</v>
      </c>
      <c r="R36" s="591"/>
      <c r="U36" s="569" t="s">
        <v>394</v>
      </c>
      <c r="V36" s="598">
        <f>IF(V17&lt;V24,0,V17-V24)</f>
        <v>0</v>
      </c>
      <c r="W36" s="652">
        <f t="shared" si="7"/>
        <v>0.45</v>
      </c>
      <c r="X36" s="600">
        <f t="shared" si="8"/>
        <v>0</v>
      </c>
      <c r="Z36" s="569" t="s">
        <v>394</v>
      </c>
      <c r="AB36" s="598">
        <f>IF(AB17&lt;AB24,0,AB17-AB24)</f>
        <v>0</v>
      </c>
      <c r="AC36" s="652">
        <f t="shared" si="9"/>
        <v>0.45</v>
      </c>
      <c r="AD36" s="600">
        <f t="shared" si="4"/>
        <v>0</v>
      </c>
    </row>
    <row r="37" spans="1:31" ht="12.75" customHeight="1" thickBot="1">
      <c r="A37" s="29" t="s">
        <v>46</v>
      </c>
      <c r="B37" s="538">
        <v>0.5</v>
      </c>
      <c r="D37" s="590">
        <v>0</v>
      </c>
      <c r="E37" s="537" t="s">
        <v>7</v>
      </c>
      <c r="G37" s="590">
        <v>0</v>
      </c>
      <c r="H37" s="537" t="s">
        <v>7</v>
      </c>
      <c r="J37" s="641">
        <f t="shared" si="2"/>
        <v>0</v>
      </c>
      <c r="K37" s="641">
        <f t="shared" si="3"/>
        <v>0</v>
      </c>
      <c r="V37" s="598">
        <f>SUM(V33:V36)</f>
        <v>0</v>
      </c>
      <c r="X37" s="665">
        <f>SUM(X33:X36)</f>
        <v>0</v>
      </c>
      <c r="AB37" s="598">
        <f>SUM(AB33:AB36)</f>
        <v>0</v>
      </c>
      <c r="AD37" s="665">
        <f>SUM(AD33:AD36)</f>
        <v>0</v>
      </c>
    </row>
    <row r="38" spans="1:31" ht="12.75" customHeight="1" thickTop="1">
      <c r="A38" s="29"/>
      <c r="B38" s="538"/>
      <c r="U38" s="581"/>
      <c r="V38" s="581"/>
      <c r="W38" s="581"/>
      <c r="X38" s="600"/>
      <c r="Y38" s="581"/>
      <c r="Z38" s="581"/>
      <c r="AA38" s="581"/>
      <c r="AB38" s="581"/>
      <c r="AC38" s="581"/>
      <c r="AD38" s="600"/>
      <c r="AE38" s="591"/>
    </row>
    <row r="39" spans="1:31" ht="12.75" customHeight="1">
      <c r="A39" s="29" t="s">
        <v>133</v>
      </c>
      <c r="B39" s="538">
        <v>1</v>
      </c>
      <c r="D39" s="590">
        <f>'Income &amp; Committed Expenditure'!B53</f>
        <v>0</v>
      </c>
      <c r="E39" s="537" t="str">
        <f>'Income &amp; Committed Expenditure'!C53</f>
        <v>Annually</v>
      </c>
      <c r="G39" s="590">
        <f>'Income &amp; Committed Expenditure'!E53</f>
        <v>0</v>
      </c>
      <c r="H39" s="537" t="str">
        <f>'Income &amp; Committed Expenditure'!F53</f>
        <v>Annually</v>
      </c>
      <c r="J39" s="641">
        <f>IF(D39="",0,IF(E39="Annually",D39*B39,IF(E39="Monthly",D39*B39*12,D39*B39*52)))</f>
        <v>0</v>
      </c>
      <c r="K39" s="641">
        <f>IF(G39="",0,IF(H39="Annually",G39*B39,IF(H39="Monthly",G39*B39*12,G39*B39*52)))</f>
        <v>0</v>
      </c>
      <c r="U39" s="574" t="s">
        <v>857</v>
      </c>
      <c r="V39" s="581"/>
      <c r="W39" s="581"/>
      <c r="X39" s="600"/>
      <c r="Y39" s="581"/>
      <c r="Z39" s="574" t="s">
        <v>857</v>
      </c>
      <c r="AA39" s="581"/>
      <c r="AB39" s="581"/>
      <c r="AC39" s="581"/>
      <c r="AD39" s="600"/>
      <c r="AE39" s="591"/>
    </row>
    <row r="40" spans="1:31" ht="12.75" customHeight="1">
      <c r="A40" s="29" t="s">
        <v>134</v>
      </c>
      <c r="B40" s="538">
        <v>1</v>
      </c>
      <c r="D40" s="590">
        <f>'Income &amp; Committed Expenditure'!B54</f>
        <v>0</v>
      </c>
      <c r="E40" s="537" t="str">
        <f>'Income &amp; Committed Expenditure'!C54</f>
        <v>Annually</v>
      </c>
      <c r="G40" s="590">
        <f>'Income &amp; Committed Expenditure'!E54</f>
        <v>0</v>
      </c>
      <c r="H40" s="537" t="str">
        <f>'Income &amp; Committed Expenditure'!F54</f>
        <v>Annually</v>
      </c>
      <c r="J40" s="641">
        <f>IF(D40="",0,IF(E40="Annually",D40*B40,IF(E40="Monthly",D40*B40*12,D40*B40*52)))</f>
        <v>0</v>
      </c>
      <c r="K40" s="641">
        <f>IF(G40="",0,IF(H40="Annually",G40*B40,IF(H40="Monthly",G40*B40*12,G40*B40*52)))</f>
        <v>0</v>
      </c>
      <c r="N40" s="575" t="s">
        <v>29</v>
      </c>
      <c r="O40" s="596"/>
      <c r="P40" s="596"/>
      <c r="Q40" s="596"/>
      <c r="S40" s="581"/>
      <c r="U40" s="569" t="s">
        <v>396</v>
      </c>
      <c r="V40" s="598">
        <f>IF(V18=0,0,IF(V33&gt;=V29,0,IF(V19&lt;V29,V19-V33,V29-V33)))</f>
        <v>0</v>
      </c>
      <c r="W40" s="647">
        <v>0</v>
      </c>
      <c r="X40" s="600">
        <f>W40*V40</f>
        <v>0</v>
      </c>
      <c r="Z40" s="569" t="s">
        <v>396</v>
      </c>
      <c r="AB40" s="598">
        <f>IF(AB18=0,0,IF(AB33&gt;=AB29,0,IF(AB19&lt;AB29,AB19-AB33,AB29-AB33)))</f>
        <v>0</v>
      </c>
      <c r="AC40" s="647">
        <v>0</v>
      </c>
      <c r="AD40" s="600">
        <f>AC40*AB40</f>
        <v>0</v>
      </c>
    </row>
    <row r="41" spans="1:31" ht="12.75" customHeight="1">
      <c r="A41" s="29" t="s">
        <v>135</v>
      </c>
      <c r="B41" s="538">
        <v>1</v>
      </c>
      <c r="D41" s="590">
        <v>0</v>
      </c>
      <c r="E41" s="537" t="s">
        <v>7</v>
      </c>
      <c r="G41" s="590">
        <v>0</v>
      </c>
      <c r="H41" s="537" t="s">
        <v>7</v>
      </c>
      <c r="J41" s="641">
        <f>IF(D41="",0,IF(E41="Annually",D41*B41,IF(E41="Monthly",D41*B41*12,D41*B41*52)))</f>
        <v>0</v>
      </c>
      <c r="K41" s="641">
        <f>IF(G41="",0,IF(H41="Annually",G41*B41,IF(H41="Monthly",G41*B41*12,G41*B41*52)))</f>
        <v>0</v>
      </c>
      <c r="N41" s="574"/>
      <c r="O41" s="596"/>
      <c r="P41" s="596"/>
      <c r="Q41" s="596"/>
      <c r="S41" s="581"/>
      <c r="U41" s="569" t="s">
        <v>858</v>
      </c>
      <c r="V41" s="598">
        <f>V22</f>
        <v>500</v>
      </c>
      <c r="W41" s="647">
        <v>0</v>
      </c>
      <c r="X41" s="600">
        <f>W41*V41</f>
        <v>0</v>
      </c>
      <c r="Y41" s="581"/>
      <c r="Z41" s="569" t="s">
        <v>858</v>
      </c>
      <c r="AA41" s="581"/>
      <c r="AB41" s="598">
        <f>AB22</f>
        <v>500</v>
      </c>
      <c r="AC41" s="647">
        <v>0</v>
      </c>
      <c r="AD41" s="600">
        <f>AC41*AB41</f>
        <v>0</v>
      </c>
      <c r="AE41" s="581"/>
    </row>
    <row r="42" spans="1:31" ht="12.75" customHeight="1">
      <c r="A42" s="29" t="s">
        <v>135</v>
      </c>
      <c r="B42" s="538">
        <v>0.5</v>
      </c>
      <c r="D42" s="590">
        <v>0</v>
      </c>
      <c r="E42" s="537" t="s">
        <v>7</v>
      </c>
      <c r="G42" s="590">
        <v>0</v>
      </c>
      <c r="H42" s="537" t="s">
        <v>7</v>
      </c>
      <c r="J42" s="641">
        <f>IF(D42="",0,IF(E42="Annually",D42*B42,IF(E42="Monthly",D42*B42*12,D42*B42*52)))</f>
        <v>0</v>
      </c>
      <c r="K42" s="641">
        <f>IF(G42="",0,IF(H42="Annually",G42*B42,IF(H42="Monthly",G42*B42*12,G42*B42*52)))</f>
        <v>0</v>
      </c>
      <c r="L42" s="569" t="s">
        <v>26</v>
      </c>
      <c r="N42" s="569" t="s">
        <v>147</v>
      </c>
      <c r="O42" s="591">
        <f>IF(D7="No",O31+O32,0)</f>
        <v>0</v>
      </c>
      <c r="P42" s="591"/>
      <c r="Q42" s="591">
        <f>IF(G7="No",Q31+Q32,0)</f>
        <v>0</v>
      </c>
      <c r="S42" s="581"/>
      <c r="U42" s="569" t="s">
        <v>408</v>
      </c>
      <c r="V42" s="598">
        <f>IF(V18=0,0,IF(V18&lt;=V41+V40,0,IF(V34&gt;=V23,0,IF(V23-V34&lt;V18-V41-V40,V23-V34-V22,V18-V41-V40))))</f>
        <v>0</v>
      </c>
      <c r="W42" s="647">
        <f>X23</f>
        <v>8.7499999999999994E-2</v>
      </c>
      <c r="X42" s="600">
        <f>W42*V42</f>
        <v>0</v>
      </c>
      <c r="Z42" s="569" t="s">
        <v>408</v>
      </c>
      <c r="AB42" s="598">
        <f>IF(AB18=0,0,IF(AB18&lt;=AB41+AB40,0,IF(AB34&gt;=AB23,0,IF(AB23-AB34&lt;AB18-AB41-AB40,AB23-AB34-AB22,AB18-AB41-AB40))))</f>
        <v>0</v>
      </c>
      <c r="AC42" s="647">
        <f>AD23</f>
        <v>8.7499999999999994E-2</v>
      </c>
      <c r="AD42" s="600">
        <f>AC42*AB42</f>
        <v>0</v>
      </c>
    </row>
    <row r="43" spans="1:31" ht="12.75" customHeight="1">
      <c r="A43" s="29" t="s">
        <v>397</v>
      </c>
      <c r="B43" s="538">
        <v>1</v>
      </c>
      <c r="D43" s="590">
        <v>0</v>
      </c>
      <c r="E43" s="537" t="s">
        <v>7</v>
      </c>
      <c r="G43" s="590">
        <v>0</v>
      </c>
      <c r="H43" s="537" t="s">
        <v>7</v>
      </c>
      <c r="J43" s="641">
        <f>IF(D43="",0,IF(E43="Annually",D43*B43,IF(E43="Monthly",D43*B43*12,D43*B43*52)))</f>
        <v>0</v>
      </c>
      <c r="K43" s="641">
        <f>IF(G43="",0,IF(H43="Annually",G43*B43,IF(H43="Monthly",G43*B43*12,G43*B43*52)))</f>
        <v>0</v>
      </c>
      <c r="N43" s="569" t="s">
        <v>398</v>
      </c>
      <c r="O43" s="591">
        <f>SUM(O34:O36)</f>
        <v>0</v>
      </c>
      <c r="P43" s="591"/>
      <c r="Q43" s="591">
        <f>SUM(Q34:Q36)</f>
        <v>0</v>
      </c>
      <c r="S43" s="569" t="s">
        <v>107</v>
      </c>
      <c r="U43" s="569" t="s">
        <v>409</v>
      </c>
      <c r="V43" s="598">
        <f>IF(V18=0,0,IF(V18&lt;=V42+V41+V40,0,IF(V35+V34=V24,0,IF(V18-V42-V41-V40&lt;V24-V23-V35,V18-V42-V41-V40,IF(V35&gt;0,V24-V23-V22-V35,IF(V19&gt;V24,V24-V23,V24-V23-V35-V22))))))</f>
        <v>0</v>
      </c>
      <c r="W43" s="647">
        <f>X24</f>
        <v>0.33750000000000002</v>
      </c>
      <c r="X43" s="600">
        <f>W43*V43</f>
        <v>0</v>
      </c>
      <c r="Z43" s="569" t="s">
        <v>409</v>
      </c>
      <c r="AB43" s="598">
        <f>IF(AB18=0,0,IF(AB18&lt;=AB42+AB41+AB40,0,IF(AB35+AB34=AB24,0,IF(AB18-AB42-AB41-AB40&lt;AB24-AB23-AB35,AB18-AB42-AB41-AB40,IF(AB35&gt;0,AB24-AB23-AB22-AB35,IF(AB19&gt;AB24,AB24-AB23,AB24-AB23-AB35-AB22))))))</f>
        <v>0</v>
      </c>
      <c r="AC43" s="647">
        <f>AD24</f>
        <v>0.33750000000000002</v>
      </c>
      <c r="AD43" s="600">
        <f>AC43*AB43</f>
        <v>0</v>
      </c>
    </row>
    <row r="44" spans="1:31" ht="12.75" customHeight="1">
      <c r="A44" s="29"/>
      <c r="B44" s="538"/>
      <c r="N44" s="569" t="s">
        <v>399</v>
      </c>
      <c r="O44" s="596">
        <f>X45</f>
        <v>0</v>
      </c>
      <c r="P44" s="596"/>
      <c r="Q44" s="596">
        <f>AD45</f>
        <v>0</v>
      </c>
      <c r="U44" s="569" t="s">
        <v>394</v>
      </c>
      <c r="V44" s="598">
        <f>IF(V18=0,0,IF(V18&lt;=V43+V42+V41+V40,0,V18-V43-V42-V41-V40))</f>
        <v>0</v>
      </c>
      <c r="W44" s="647">
        <f>X25</f>
        <v>0.39350000000000002</v>
      </c>
      <c r="X44" s="600">
        <f>W44*V44</f>
        <v>0</v>
      </c>
      <c r="Z44" s="569" t="s">
        <v>394</v>
      </c>
      <c r="AB44" s="598">
        <f>IF(AB18=0,0,IF(AB18&lt;=AB43+AB42+AB41+AB40,0,AB18-AB43-AB42-AB41-AB40))</f>
        <v>0</v>
      </c>
      <c r="AC44" s="647">
        <f>AD25</f>
        <v>0.39350000000000002</v>
      </c>
      <c r="AD44" s="600">
        <f>AC44*AB44</f>
        <v>0</v>
      </c>
    </row>
    <row r="45" spans="1:31" ht="12.75" customHeight="1" thickBot="1">
      <c r="A45" s="28" t="s">
        <v>179</v>
      </c>
      <c r="B45" s="587"/>
      <c r="L45" s="574"/>
      <c r="N45" s="569" t="s">
        <v>400</v>
      </c>
      <c r="O45" s="591">
        <f>J51+J52</f>
        <v>0</v>
      </c>
      <c r="P45" s="591"/>
      <c r="Q45" s="591">
        <f>K51+K52</f>
        <v>0</v>
      </c>
      <c r="V45" s="598">
        <f>SUM(V40:V44)</f>
        <v>500</v>
      </c>
      <c r="X45" s="665">
        <f>SUM(X40:X44)</f>
        <v>0</v>
      </c>
      <c r="AB45" s="598">
        <f>SUM(AB40:AB44)</f>
        <v>500</v>
      </c>
      <c r="AD45" s="665">
        <f>SUM(AD40:AD44)</f>
        <v>0</v>
      </c>
    </row>
    <row r="46" spans="1:31" ht="12.75" customHeight="1" thickTop="1">
      <c r="A46" s="628" t="s">
        <v>180</v>
      </c>
      <c r="B46" s="538">
        <v>1</v>
      </c>
      <c r="D46" s="588">
        <f>'Income &amp; Committed Expenditure'!B56</f>
        <v>0</v>
      </c>
      <c r="E46" s="537" t="str">
        <f>'Income &amp; Committed Expenditure'!C56</f>
        <v>Monthly</v>
      </c>
      <c r="G46" s="588">
        <f>'Income &amp; Committed Expenditure'!E56</f>
        <v>0</v>
      </c>
      <c r="H46" s="537" t="str">
        <f>'Income &amp; Committed Expenditure'!F56</f>
        <v>Monthly</v>
      </c>
      <c r="J46" s="641">
        <f>IF(D46="",0,IF(E46="Annually",D46*B46,IF(E46="Monthly",D46*B46*12,D46*B46*52)))</f>
        <v>0</v>
      </c>
      <c r="K46" s="641">
        <f>IF(G46="",0,IF(H46="Annually",G46*B46,IF(H46="Monthly",G46*B46*12,G46*B46*52)))</f>
        <v>0</v>
      </c>
      <c r="M46" s="574"/>
      <c r="N46" s="574" t="s">
        <v>61</v>
      </c>
      <c r="O46" s="599">
        <f>SUM(O42:O45)</f>
        <v>0</v>
      </c>
      <c r="P46" s="599"/>
      <c r="Q46" s="599">
        <f>SUM(Q42:Q45)</f>
        <v>0</v>
      </c>
    </row>
    <row r="47" spans="1:31" ht="12.75" customHeight="1">
      <c r="A47" s="628" t="s">
        <v>110</v>
      </c>
      <c r="B47" s="538">
        <v>1</v>
      </c>
      <c r="D47" s="588">
        <f>'Income &amp; Committed Expenditure'!B57</f>
        <v>0</v>
      </c>
      <c r="E47" s="537" t="str">
        <f>'Income &amp; Committed Expenditure'!C57</f>
        <v>Monthly</v>
      </c>
      <c r="G47" s="588">
        <f>'Income &amp; Committed Expenditure'!E57</f>
        <v>0</v>
      </c>
      <c r="H47" s="537" t="str">
        <f>'Income &amp; Committed Expenditure'!F57</f>
        <v>Monthly</v>
      </c>
      <c r="J47" s="641">
        <f>IF(D47="",0,IF(E47="Annually",D47*B47,IF(E47="Monthly",D47*B47*12,D47*B47*52)))</f>
        <v>0</v>
      </c>
      <c r="K47" s="641">
        <f>IF(G47="",0,IF(H47="Annually",G47*B47,IF(H47="Monthly",G47*B47*12,G47*B47*52)))</f>
        <v>0</v>
      </c>
      <c r="O47" s="591"/>
      <c r="P47" s="591"/>
      <c r="Q47" s="591"/>
    </row>
    <row r="48" spans="1:31" ht="12.75" customHeight="1">
      <c r="A48" s="628" t="s">
        <v>28</v>
      </c>
      <c r="B48" s="538">
        <v>1</v>
      </c>
      <c r="D48" s="588">
        <f>'Income &amp; Committed Expenditure'!B58</f>
        <v>0</v>
      </c>
      <c r="E48" s="537" t="str">
        <f>'Income &amp; Committed Expenditure'!C58</f>
        <v>Monthly</v>
      </c>
      <c r="G48" s="588">
        <f>'Income &amp; Committed Expenditure'!E58</f>
        <v>0</v>
      </c>
      <c r="H48" s="537" t="str">
        <f>'Income &amp; Committed Expenditure'!F58</f>
        <v>Monthly</v>
      </c>
      <c r="J48" s="641">
        <f>IF(D48="",0,IF(E48="Annually",D48*B48,IF(E48="Monthly",D48*B48*12,D48*B48*52)))</f>
        <v>0</v>
      </c>
      <c r="K48" s="641">
        <f>IF(G48="",0,IF(H48="Annually",G48*B48,IF(H48="Monthly",G48*B48*12,G48*B48*52)))</f>
        <v>0</v>
      </c>
    </row>
    <row r="49" spans="1:19" ht="12.75" customHeight="1">
      <c r="A49" s="29"/>
      <c r="B49" s="538"/>
      <c r="N49" s="569" t="s">
        <v>401</v>
      </c>
      <c r="O49" s="591">
        <f>SUM(O18-O46)</f>
        <v>0</v>
      </c>
      <c r="P49" s="591"/>
      <c r="Q49" s="591">
        <f>SUM(Q18-Q46)</f>
        <v>0</v>
      </c>
    </row>
    <row r="50" spans="1:19" ht="12.75" customHeight="1">
      <c r="A50" s="28" t="s">
        <v>178</v>
      </c>
      <c r="B50" s="587"/>
      <c r="N50" s="595"/>
      <c r="P50" s="591"/>
      <c r="Q50" s="591"/>
    </row>
    <row r="51" spans="1:19" ht="12.75" customHeight="1">
      <c r="A51" s="628" t="s">
        <v>109</v>
      </c>
      <c r="B51" s="538">
        <v>1</v>
      </c>
      <c r="D51" s="588">
        <f>'Income &amp; Committed Expenditure'!B60</f>
        <v>0</v>
      </c>
      <c r="E51" s="537" t="str">
        <f>'Income &amp; Committed Expenditure'!C60</f>
        <v>Monthly</v>
      </c>
      <c r="G51" s="588">
        <f>'Income &amp; Committed Expenditure'!E60</f>
        <v>0</v>
      </c>
      <c r="H51" s="537" t="str">
        <f>'Income &amp; Committed Expenditure'!F60</f>
        <v>Monthly</v>
      </c>
      <c r="J51" s="641">
        <f>IF(D51="",0,IF(E51="Annually",D51*B51,IF(E51="Monthly",D51*B51*12,D51*B51*52)))</f>
        <v>0</v>
      </c>
      <c r="K51" s="641">
        <f>IF(G51="",0,IF(H51="Annually",G51*B51,IF(H51="Monthly",G51*B51*12,G51*B51*52)))</f>
        <v>0</v>
      </c>
      <c r="N51" s="569" t="s">
        <v>30</v>
      </c>
      <c r="O51" s="581">
        <f>SUM(O49/12)</f>
        <v>0</v>
      </c>
      <c r="Q51" s="591">
        <f>SUM(Q49/12)</f>
        <v>0</v>
      </c>
    </row>
    <row r="52" spans="1:19" ht="12.75" customHeight="1">
      <c r="A52" s="628" t="s">
        <v>556</v>
      </c>
      <c r="B52" s="538">
        <v>1</v>
      </c>
      <c r="D52" s="588">
        <f>'Income &amp; Committed Expenditure'!B61</f>
        <v>0</v>
      </c>
      <c r="E52" s="537" t="str">
        <f>'Income &amp; Committed Expenditure'!C61</f>
        <v>Monthly</v>
      </c>
      <c r="G52" s="588">
        <f>'Income &amp; Committed Expenditure'!E61</f>
        <v>0</v>
      </c>
      <c r="H52" s="537" t="str">
        <f>'Income &amp; Committed Expenditure'!F61</f>
        <v>Monthly</v>
      </c>
      <c r="J52" s="641">
        <f>IF(D52="",0,IF(E52="Annually",D52*B52,IF(E52="Monthly",D52*B52*12,D52*B52*52)))</f>
        <v>0</v>
      </c>
      <c r="K52" s="641">
        <f>IF(G52="",0,IF(H52="Annually",G52*B52,IF(H52="Monthly",G52*B52*12,G52*B52*52)))</f>
        <v>0</v>
      </c>
      <c r="N52" s="595"/>
      <c r="O52" s="591"/>
      <c r="P52" s="591"/>
      <c r="Q52" s="591"/>
    </row>
    <row r="53" spans="1:19" ht="12.75" customHeight="1"/>
    <row r="54" spans="1:19" ht="12.75" customHeight="1">
      <c r="A54" s="29" t="s">
        <v>401</v>
      </c>
      <c r="D54" s="581">
        <f>O49</f>
        <v>0</v>
      </c>
      <c r="E54" s="569" t="s">
        <v>50</v>
      </c>
      <c r="G54" s="581">
        <f>Q49</f>
        <v>0</v>
      </c>
      <c r="H54" s="569" t="s">
        <v>50</v>
      </c>
      <c r="N54" s="595"/>
      <c r="O54" s="591"/>
      <c r="P54" s="591"/>
      <c r="Q54" s="591"/>
    </row>
    <row r="55" spans="1:19" ht="12.75" customHeight="1">
      <c r="N55" s="595"/>
      <c r="O55" s="591"/>
      <c r="P55" s="591"/>
      <c r="Q55" s="591"/>
    </row>
    <row r="56" spans="1:19" ht="12.75" customHeight="1">
      <c r="A56" s="29" t="s">
        <v>30</v>
      </c>
      <c r="B56" s="587"/>
      <c r="D56" s="591">
        <f>O51</f>
        <v>0</v>
      </c>
      <c r="E56" s="569" t="s">
        <v>7</v>
      </c>
      <c r="G56" s="591">
        <f>Q51</f>
        <v>0</v>
      </c>
      <c r="H56" s="569" t="str">
        <f>E56</f>
        <v>Monthly</v>
      </c>
      <c r="M56" s="575"/>
      <c r="N56" s="595"/>
      <c r="O56" s="591"/>
      <c r="P56" s="591"/>
      <c r="Q56" s="591"/>
    </row>
    <row r="57" spans="1:19" ht="12.75" customHeight="1">
      <c r="N57" s="595"/>
      <c r="O57" s="591"/>
      <c r="P57" s="591"/>
      <c r="Q57" s="591"/>
    </row>
    <row r="58" spans="1:19" ht="12.75" customHeight="1">
      <c r="A58" s="1192" t="s">
        <v>402</v>
      </c>
      <c r="B58" s="1192"/>
      <c r="C58" s="1192"/>
      <c r="D58" s="1192"/>
      <c r="E58" s="1192"/>
      <c r="F58" s="1192"/>
      <c r="G58" s="1192"/>
      <c r="H58" s="1192"/>
      <c r="O58" s="1193"/>
      <c r="P58" s="1194"/>
      <c r="Q58" s="1194"/>
    </row>
    <row r="59" spans="1:19" ht="12.75" customHeight="1">
      <c r="O59" s="591"/>
    </row>
    <row r="60" spans="1:19">
      <c r="A60" s="602" t="s">
        <v>108</v>
      </c>
      <c r="B60" s="587"/>
      <c r="D60" s="601"/>
      <c r="G60" s="601"/>
      <c r="M60" s="1195" t="s">
        <v>403</v>
      </c>
      <c r="N60" s="1196"/>
      <c r="O60" s="603"/>
      <c r="P60" s="591"/>
      <c r="Q60" s="603"/>
    </row>
    <row r="61" spans="1:19">
      <c r="A61" s="30" t="s">
        <v>882</v>
      </c>
      <c r="B61" s="538">
        <v>1</v>
      </c>
      <c r="D61" s="590">
        <f>'Income &amp; Committed Expenditure'!B63</f>
        <v>0</v>
      </c>
      <c r="E61" s="569" t="s">
        <v>7</v>
      </c>
      <c r="G61" s="590">
        <f>'Income &amp; Committed Expenditure'!E63</f>
        <v>0</v>
      </c>
      <c r="H61" s="569" t="s">
        <v>7</v>
      </c>
      <c r="J61" s="641">
        <f t="shared" ref="J61:J69" si="10">IF(D61="",0,IF(E61="Annually",D61*B61,IF(E61="Monthly",D61*B61*12,D61*B61*52)))</f>
        <v>0</v>
      </c>
      <c r="K61" s="641">
        <f t="shared" ref="K61:K69" si="11">IF(G61="",0,IF(H61="Annually",G61*B61,IF(H61="Monthly",G61*B61*12,G61*B61*52)))</f>
        <v>0</v>
      </c>
      <c r="M61" s="1197"/>
      <c r="N61" s="1198"/>
      <c r="Q61" s="591"/>
    </row>
    <row r="62" spans="1:19">
      <c r="A62" s="30" t="s">
        <v>882</v>
      </c>
      <c r="B62" s="538">
        <v>0.5</v>
      </c>
      <c r="D62" s="590">
        <f>'Income &amp; Committed Expenditure'!B64</f>
        <v>0</v>
      </c>
      <c r="E62" s="569" t="s">
        <v>7</v>
      </c>
      <c r="G62" s="590">
        <f>'Income &amp; Committed Expenditure'!E64</f>
        <v>0</v>
      </c>
      <c r="H62" s="569" t="s">
        <v>7</v>
      </c>
      <c r="J62" s="641">
        <f t="shared" si="10"/>
        <v>0</v>
      </c>
      <c r="K62" s="641">
        <f t="shared" si="11"/>
        <v>0</v>
      </c>
      <c r="M62" s="1197"/>
      <c r="N62" s="1198"/>
      <c r="Q62" s="591"/>
    </row>
    <row r="63" spans="1:19">
      <c r="A63" s="29" t="s">
        <v>41</v>
      </c>
      <c r="B63" s="538">
        <v>1</v>
      </c>
      <c r="C63" s="569" t="s">
        <v>565</v>
      </c>
      <c r="D63" s="590">
        <v>0</v>
      </c>
      <c r="E63" s="569" t="s">
        <v>7</v>
      </c>
      <c r="G63" s="590">
        <v>0</v>
      </c>
      <c r="H63" s="569" t="s">
        <v>7</v>
      </c>
      <c r="I63" s="569" t="s">
        <v>565</v>
      </c>
      <c r="J63" s="641">
        <f t="shared" si="10"/>
        <v>0</v>
      </c>
      <c r="K63" s="641">
        <f t="shared" si="11"/>
        <v>0</v>
      </c>
      <c r="M63" s="1197"/>
      <c r="N63" s="1198"/>
      <c r="P63" s="604"/>
      <c r="Q63" s="605" t="s">
        <v>418</v>
      </c>
      <c r="R63" s="606"/>
      <c r="S63" s="607"/>
    </row>
    <row r="64" spans="1:19" ht="12.75" customHeight="1">
      <c r="A64" s="29" t="s">
        <v>42</v>
      </c>
      <c r="B64" s="538">
        <v>1</v>
      </c>
      <c r="C64" s="569" t="s">
        <v>565</v>
      </c>
      <c r="D64" s="590">
        <v>0</v>
      </c>
      <c r="E64" s="569" t="s">
        <v>7</v>
      </c>
      <c r="G64" s="590">
        <v>0</v>
      </c>
      <c r="H64" s="569" t="s">
        <v>7</v>
      </c>
      <c r="I64" s="569" t="s">
        <v>565</v>
      </c>
      <c r="J64" s="641">
        <f t="shared" si="10"/>
        <v>0</v>
      </c>
      <c r="K64" s="641">
        <f t="shared" si="11"/>
        <v>0</v>
      </c>
      <c r="M64" s="1199"/>
      <c r="N64" s="1200"/>
      <c r="P64" s="608"/>
      <c r="S64" s="609"/>
    </row>
    <row r="65" spans="1:33">
      <c r="A65" s="29" t="s">
        <v>42</v>
      </c>
      <c r="B65" s="538">
        <v>0.5</v>
      </c>
      <c r="C65" s="569" t="s">
        <v>565</v>
      </c>
      <c r="D65" s="590">
        <v>0</v>
      </c>
      <c r="E65" s="569" t="s">
        <v>7</v>
      </c>
      <c r="G65" s="590">
        <v>0</v>
      </c>
      <c r="H65" s="569" t="s">
        <v>7</v>
      </c>
      <c r="I65" s="569" t="s">
        <v>565</v>
      </c>
      <c r="J65" s="641">
        <f t="shared" si="10"/>
        <v>0</v>
      </c>
      <c r="K65" s="641">
        <f t="shared" si="11"/>
        <v>0</v>
      </c>
      <c r="P65" s="608"/>
      <c r="Q65" s="629" t="s">
        <v>419</v>
      </c>
      <c r="S65" s="611" t="s">
        <v>420</v>
      </c>
    </row>
    <row r="66" spans="1:33">
      <c r="A66" s="29" t="s">
        <v>19</v>
      </c>
      <c r="B66" s="538">
        <v>1</v>
      </c>
      <c r="C66" s="569" t="s">
        <v>565</v>
      </c>
      <c r="D66" s="590">
        <v>0</v>
      </c>
      <c r="E66" s="569" t="s">
        <v>7</v>
      </c>
      <c r="G66" s="590">
        <v>0</v>
      </c>
      <c r="H66" s="569" t="s">
        <v>7</v>
      </c>
      <c r="I66" s="569" t="s">
        <v>565</v>
      </c>
      <c r="J66" s="641">
        <f t="shared" si="10"/>
        <v>0</v>
      </c>
      <c r="K66" s="641">
        <f t="shared" si="11"/>
        <v>0</v>
      </c>
      <c r="M66" s="1191" t="s">
        <v>373</v>
      </c>
      <c r="N66" s="1191"/>
      <c r="P66" s="608" t="s">
        <v>421</v>
      </c>
      <c r="Q66" s="374">
        <f>O20</f>
        <v>0</v>
      </c>
      <c r="S66" s="612">
        <f>Q20</f>
        <v>0</v>
      </c>
    </row>
    <row r="67" spans="1:33">
      <c r="A67" s="29" t="s">
        <v>97</v>
      </c>
      <c r="B67" s="538">
        <v>1</v>
      </c>
      <c r="C67" s="569" t="s">
        <v>565</v>
      </c>
      <c r="D67" s="590">
        <v>0</v>
      </c>
      <c r="E67" s="569" t="s">
        <v>7</v>
      </c>
      <c r="G67" s="590">
        <v>0</v>
      </c>
      <c r="H67" s="569" t="s">
        <v>7</v>
      </c>
      <c r="I67" s="569" t="s">
        <v>565</v>
      </c>
      <c r="J67" s="641">
        <f t="shared" si="10"/>
        <v>0</v>
      </c>
      <c r="K67" s="641">
        <f t="shared" si="11"/>
        <v>0</v>
      </c>
      <c r="M67" s="1191"/>
      <c r="N67" s="1191"/>
      <c r="P67" s="608" t="s">
        <v>422</v>
      </c>
      <c r="Q67" s="374">
        <f>SUM(O42:O43)</f>
        <v>0</v>
      </c>
      <c r="S67" s="612">
        <f>SUM(Q42:Q43)</f>
        <v>0</v>
      </c>
    </row>
    <row r="68" spans="1:33">
      <c r="A68" s="29" t="s">
        <v>43</v>
      </c>
      <c r="B68" s="538">
        <v>1</v>
      </c>
      <c r="C68" s="569" t="s">
        <v>565</v>
      </c>
      <c r="D68" s="590">
        <v>0</v>
      </c>
      <c r="E68" s="569" t="s">
        <v>7</v>
      </c>
      <c r="G68" s="590">
        <v>0</v>
      </c>
      <c r="H68" s="569" t="s">
        <v>7</v>
      </c>
      <c r="I68" s="569" t="s">
        <v>565</v>
      </c>
      <c r="J68" s="641">
        <f t="shared" si="10"/>
        <v>0</v>
      </c>
      <c r="K68" s="641">
        <f t="shared" si="11"/>
        <v>0</v>
      </c>
      <c r="M68" s="1191"/>
      <c r="N68" s="1191"/>
      <c r="P68" s="613" t="s">
        <v>423</v>
      </c>
      <c r="Q68" s="616">
        <f>SUM(Q66-Q67)</f>
        <v>0</v>
      </c>
      <c r="S68" s="614">
        <f>SUM(S66-S67)</f>
        <v>0</v>
      </c>
    </row>
    <row r="69" spans="1:33">
      <c r="A69" s="29" t="s">
        <v>404</v>
      </c>
      <c r="B69" s="538">
        <v>0.5</v>
      </c>
      <c r="C69" s="569" t="s">
        <v>565</v>
      </c>
      <c r="D69" s="590">
        <v>0</v>
      </c>
      <c r="E69" s="569" t="s">
        <v>7</v>
      </c>
      <c r="G69" s="590">
        <v>0</v>
      </c>
      <c r="H69" s="569" t="s">
        <v>7</v>
      </c>
      <c r="I69" s="569" t="s">
        <v>565</v>
      </c>
      <c r="J69" s="641">
        <f t="shared" si="10"/>
        <v>0</v>
      </c>
      <c r="K69" s="641">
        <f t="shared" si="11"/>
        <v>0</v>
      </c>
      <c r="M69" s="1191"/>
      <c r="N69" s="1191"/>
      <c r="P69" s="608"/>
      <c r="S69" s="609"/>
    </row>
    <row r="70" spans="1:33">
      <c r="D70" s="601"/>
      <c r="G70" s="601"/>
      <c r="M70" s="1191"/>
      <c r="N70" s="1191"/>
      <c r="P70" s="613" t="s">
        <v>390</v>
      </c>
      <c r="Q70" s="374">
        <f>O22</f>
        <v>0</v>
      </c>
      <c r="R70" s="615"/>
      <c r="S70" s="612">
        <f>Q22</f>
        <v>0</v>
      </c>
    </row>
    <row r="71" spans="1:33">
      <c r="A71" s="574" t="s">
        <v>230</v>
      </c>
      <c r="D71" s="591">
        <f>SUMPRODUCT(B61:B69,D61:D69)</f>
        <v>0</v>
      </c>
      <c r="E71" s="569" t="s">
        <v>7</v>
      </c>
      <c r="F71" s="585"/>
      <c r="G71" s="591">
        <f>SUMPRODUCT(B61:B69,G61:G69)</f>
        <v>0</v>
      </c>
      <c r="H71" s="569" t="s">
        <v>7</v>
      </c>
      <c r="M71" s="1191"/>
      <c r="N71" s="1191"/>
      <c r="P71" s="608" t="s">
        <v>424</v>
      </c>
      <c r="Q71" s="374">
        <f>O44</f>
        <v>0</v>
      </c>
      <c r="S71" s="612">
        <f>Q44</f>
        <v>0</v>
      </c>
      <c r="AG71" s="569" t="s">
        <v>26</v>
      </c>
    </row>
    <row r="72" spans="1:33">
      <c r="D72" s="601"/>
      <c r="G72" s="601"/>
      <c r="M72" s="1191"/>
      <c r="N72" s="1191"/>
      <c r="P72" s="608" t="s">
        <v>425</v>
      </c>
      <c r="Q72" s="616">
        <f>SUM(Q70-Q71)</f>
        <v>0</v>
      </c>
      <c r="S72" s="614">
        <f>SUM(S70-S71)</f>
        <v>0</v>
      </c>
      <c r="AE72" s="569" t="s">
        <v>26</v>
      </c>
    </row>
    <row r="73" spans="1:33">
      <c r="A73" s="569" t="s">
        <v>231</v>
      </c>
      <c r="M73" s="1191"/>
      <c r="N73" s="1191"/>
      <c r="P73" s="608"/>
      <c r="S73" s="609"/>
    </row>
    <row r="74" spans="1:33">
      <c r="P74" s="617" t="s">
        <v>426</v>
      </c>
      <c r="Q74" s="618">
        <f>SUM(Q68+Q72)</f>
        <v>0</v>
      </c>
      <c r="R74" s="619"/>
      <c r="S74" s="620">
        <f>SUM(S68+S72)</f>
        <v>0</v>
      </c>
    </row>
    <row r="75" spans="1:33">
      <c r="P75" s="621"/>
    </row>
    <row r="76" spans="1:33" ht="16.8">
      <c r="N76" s="47" t="s">
        <v>405</v>
      </c>
      <c r="O76" s="723" t="s">
        <v>0</v>
      </c>
      <c r="P76" s="641"/>
      <c r="Q76" s="723" t="s">
        <v>1</v>
      </c>
    </row>
    <row r="77" spans="1:33">
      <c r="O77" s="622" t="e">
        <f>IF(O18&lt;=#REF!,0,IF(O18&lt;=#REF!,#REF!,IF(O18&lt;=#REF!,#REF!,#REF!)))</f>
        <v>#REF!</v>
      </c>
      <c r="P77" s="641"/>
      <c r="Q77" s="622" t="e">
        <f>IF(Q18&lt;=#REF!,0,IF(Q18&lt;=#REF!,#REF!,IF(Q18&lt;=#REF!,#REF!,#REF!)))</f>
        <v>#REF!</v>
      </c>
    </row>
    <row r="78" spans="1:33">
      <c r="N78" s="623"/>
      <c r="O78" s="641"/>
      <c r="P78" s="621"/>
      <c r="Q78" s="624"/>
    </row>
    <row r="79" spans="1:33">
      <c r="N79" s="73" t="s">
        <v>406</v>
      </c>
      <c r="O79" s="622" t="e">
        <f>MAX(O77,Q77)</f>
        <v>#REF!</v>
      </c>
      <c r="P79" s="641"/>
      <c r="Q79" s="641"/>
    </row>
    <row r="81" spans="5:19">
      <c r="E81" s="625"/>
      <c r="F81" s="625"/>
    </row>
    <row r="82" spans="5:19">
      <c r="N82" s="569" t="s">
        <v>407</v>
      </c>
      <c r="P82" s="589"/>
      <c r="Q82" s="624"/>
    </row>
    <row r="83" spans="5:19">
      <c r="N83" s="569" t="s">
        <v>408</v>
      </c>
      <c r="O83" s="626">
        <v>0.2</v>
      </c>
      <c r="Q83" s="624"/>
    </row>
    <row r="84" spans="5:19">
      <c r="N84" s="569" t="s">
        <v>409</v>
      </c>
      <c r="O84" s="626">
        <v>0.4</v>
      </c>
      <c r="Q84" s="624"/>
    </row>
    <row r="85" spans="5:19">
      <c r="N85" s="569" t="s">
        <v>394</v>
      </c>
      <c r="O85" s="622">
        <v>0.45</v>
      </c>
    </row>
    <row r="86" spans="5:19">
      <c r="N86" s="569" t="s">
        <v>410</v>
      </c>
      <c r="O86" s="622">
        <v>0.45</v>
      </c>
    </row>
    <row r="87" spans="5:19">
      <c r="O87" s="641"/>
    </row>
    <row r="88" spans="5:19">
      <c r="O88" s="641"/>
    </row>
    <row r="89" spans="5:19">
      <c r="N89" s="569" t="s">
        <v>411</v>
      </c>
      <c r="O89" s="622" t="e">
        <f>IF(O77+Q77=0,O86,O79)</f>
        <v>#REF!</v>
      </c>
    </row>
    <row r="91" spans="5:19">
      <c r="N91" s="569" t="e">
        <f>IF(O77+Q77=0,"Rate of tax applied to profits based on Input figure","Rate of tax applied to profits based on level of Income")</f>
        <v>#REF!</v>
      </c>
      <c r="P91" s="627"/>
      <c r="Q91" s="641"/>
      <c r="R91" s="627"/>
    </row>
    <row r="92" spans="5:19">
      <c r="S92" s="641"/>
    </row>
    <row r="93" spans="5:19">
      <c r="S93" s="624"/>
    </row>
    <row r="95" spans="5:19">
      <c r="R95" s="589"/>
    </row>
    <row r="97" spans="16:17">
      <c r="P97" s="589"/>
      <c r="Q97" s="624"/>
    </row>
    <row r="98" spans="16:17">
      <c r="P98" s="589"/>
      <c r="Q98" s="624"/>
    </row>
    <row r="117" spans="15:16">
      <c r="P117" s="591"/>
    </row>
    <row r="118" spans="15:16">
      <c r="P118" s="591"/>
    </row>
    <row r="119" spans="15:16">
      <c r="P119" s="591"/>
    </row>
    <row r="120" spans="15:16">
      <c r="P120" s="591"/>
    </row>
    <row r="121" spans="15:16">
      <c r="P121" s="591"/>
    </row>
    <row r="122" spans="15:16">
      <c r="P122" s="591"/>
    </row>
    <row r="123" spans="15:16">
      <c r="O123" s="581"/>
      <c r="P123" s="591"/>
    </row>
    <row r="124" spans="15:16">
      <c r="O124" s="581"/>
      <c r="P124" s="591"/>
    </row>
    <row r="125" spans="15:16">
      <c r="O125" s="581"/>
      <c r="P125" s="591"/>
    </row>
    <row r="126" spans="15:16">
      <c r="O126" s="581"/>
      <c r="P126" s="591"/>
    </row>
    <row r="127" spans="15:16">
      <c r="O127" s="591"/>
      <c r="P127" s="591"/>
    </row>
    <row r="128" spans="15:16">
      <c r="O128" s="581"/>
      <c r="P128" s="591"/>
    </row>
    <row r="129" spans="15:16">
      <c r="O129" s="581"/>
      <c r="P129" s="591"/>
    </row>
    <row r="131" spans="15:16">
      <c r="O131" s="581"/>
    </row>
    <row r="132" spans="15:16">
      <c r="O132" s="591"/>
    </row>
  </sheetData>
  <sheetProtection algorithmName="SHA-512" hashValue="DzCONyx8GLpTL5fxSOBaustwrvd6mLR7PtZPq38kvz+NM4JuttC26cYRnU28bZccHY1OnCKX0TcWuLwnfWYzdQ==" saltValue="uo4RgafSY9o0RSjiJ6FJNg==" spinCount="100000" sheet="1" objects="1" scenarios="1"/>
  <mergeCells count="14">
    <mergeCell ref="M66:N73"/>
    <mergeCell ref="A58:H58"/>
    <mergeCell ref="O58:Q58"/>
    <mergeCell ref="M60:N64"/>
    <mergeCell ref="A2:C2"/>
    <mergeCell ref="A3:C3"/>
    <mergeCell ref="D5:E5"/>
    <mergeCell ref="G5:H5"/>
    <mergeCell ref="A11:A12"/>
    <mergeCell ref="D11:H11"/>
    <mergeCell ref="D7:E7"/>
    <mergeCell ref="D9:E9"/>
    <mergeCell ref="G7:H7"/>
    <mergeCell ref="G9:H9"/>
  </mergeCells>
  <dataValidations count="4">
    <dataValidation type="list" allowBlank="1" showInputMessage="1" showErrorMessage="1" sqref="E21:E28 H31:H37 E31:E37 E41:E43 H21:H28 H41:H43" xr:uid="{00000000-0002-0000-0100-000000000000}">
      <formula1>$S$11:$S$13</formula1>
    </dataValidation>
    <dataValidation type="list" allowBlank="1" showInputMessage="1" showErrorMessage="1" sqref="G9 D9" xr:uid="{00000000-0002-0000-0100-000001000000}">
      <formula1>$N$3:$N$5</formula1>
    </dataValidation>
    <dataValidation allowBlank="1" showInputMessage="1" showErrorMessage="1" error="Please enter only the numbers from the tax code" sqref="E14 H14" xr:uid="{00000000-0002-0000-0100-000002000000}"/>
    <dataValidation type="whole" allowBlank="1" showInputMessage="1" showErrorMessage="1" sqref="D14 G14" xr:uid="{00000000-0002-0000-0100-000003000000}">
      <formula1>0</formula1>
      <formula2>999999</formula2>
    </dataValidation>
  </dataValidations>
  <pageMargins left="0.7" right="0.7" top="0.75" bottom="0.75" header="0.3" footer="0.3"/>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286"/>
  <sheetViews>
    <sheetView showGridLines="0" zoomScale="85" zoomScaleNormal="85" workbookViewId="0">
      <selection activeCell="J6" sqref="J6"/>
    </sheetView>
  </sheetViews>
  <sheetFormatPr defaultColWidth="9.109375" defaultRowHeight="13.2"/>
  <cols>
    <col min="1" max="1" width="12.109375" style="37" customWidth="1"/>
    <col min="2" max="2" width="12.6640625" style="37" bestFit="1" customWidth="1"/>
    <col min="3" max="3" width="20.33203125" style="37" customWidth="1"/>
    <col min="4" max="4" width="17.33203125" style="142" customWidth="1"/>
    <col min="5" max="5" width="9.6640625" style="37" customWidth="1"/>
    <col min="6" max="6" width="16.33203125" style="41" customWidth="1"/>
    <col min="7" max="7" width="14.109375" style="41" customWidth="1"/>
    <col min="8" max="8" width="17.6640625" style="41" customWidth="1"/>
    <col min="9" max="9" width="12.6640625" style="37" customWidth="1"/>
    <col min="10" max="10" width="16.109375" style="37" customWidth="1"/>
    <col min="11" max="11" width="16.109375" style="146" hidden="1" customWidth="1"/>
    <col min="12" max="21" width="16.109375" style="139" hidden="1" customWidth="1"/>
    <col min="22" max="22" width="14.5546875" style="37" customWidth="1"/>
    <col min="23" max="23" width="6.33203125" style="37" customWidth="1"/>
    <col min="24" max="24" width="14.33203125" style="37" customWidth="1"/>
    <col min="25" max="27" width="12.6640625" style="37" customWidth="1"/>
    <col min="28" max="28" width="10.6640625" style="139" hidden="1" customWidth="1"/>
    <col min="29" max="29" width="12.6640625" style="139" hidden="1" customWidth="1"/>
    <col min="30" max="30" width="25.33203125" style="139" hidden="1" customWidth="1"/>
    <col min="31" max="32" width="9.109375" style="139" hidden="1" customWidth="1"/>
    <col min="33" max="33" width="23" style="139" hidden="1" customWidth="1"/>
    <col min="34" max="35" width="9.109375" style="139" hidden="1" customWidth="1"/>
    <col min="36" max="36" width="18.6640625" style="139" hidden="1" customWidth="1"/>
    <col min="37" max="43" width="9.109375" style="139" hidden="1" customWidth="1"/>
    <col min="44" max="44" width="10.33203125" style="139" hidden="1" customWidth="1"/>
    <col min="45" max="45" width="9.109375" style="139" hidden="1" customWidth="1"/>
    <col min="46" max="63" width="9.109375" style="37" customWidth="1"/>
    <col min="64" max="16384" width="9.109375" style="37"/>
  </cols>
  <sheetData>
    <row r="1" spans="1:44">
      <c r="A1" s="137" t="s">
        <v>727</v>
      </c>
      <c r="B1" s="137"/>
      <c r="C1" s="137"/>
      <c r="D1" s="137"/>
      <c r="E1" s="137"/>
      <c r="F1" s="137"/>
      <c r="K1" s="138" t="s">
        <v>5</v>
      </c>
    </row>
    <row r="2" spans="1:44">
      <c r="C2" s="140"/>
      <c r="D2" s="140"/>
      <c r="K2" s="138" t="s">
        <v>7</v>
      </c>
      <c r="AB2" s="539" t="s">
        <v>836</v>
      </c>
    </row>
    <row r="3" spans="1:44">
      <c r="A3" s="141" t="s">
        <v>20</v>
      </c>
      <c r="B3" s="540"/>
      <c r="D3" s="557" t="s">
        <v>1456</v>
      </c>
      <c r="E3" s="40"/>
      <c r="F3" s="143"/>
      <c r="G3" s="143"/>
      <c r="K3" s="138" t="s">
        <v>13</v>
      </c>
      <c r="AB3" s="139" t="s">
        <v>720</v>
      </c>
      <c r="AD3" s="139">
        <f>IF(Y13&gt;=70,1,0)</f>
        <v>0</v>
      </c>
    </row>
    <row r="4" spans="1:44">
      <c r="AB4" s="139" t="s">
        <v>721</v>
      </c>
      <c r="AD4" s="139">
        <f>IF(Y22&gt;=70,1,0)</f>
        <v>0</v>
      </c>
    </row>
    <row r="5" spans="1:44">
      <c r="A5" s="1246" t="s">
        <v>171</v>
      </c>
      <c r="B5" s="1247"/>
      <c r="C5" s="1248"/>
      <c r="D5" s="1246" t="s">
        <v>657</v>
      </c>
      <c r="E5" s="1247"/>
      <c r="F5" s="1248"/>
      <c r="G5" s="1246" t="s">
        <v>16</v>
      </c>
      <c r="H5" s="1248"/>
      <c r="K5" s="144">
        <v>9.9999999999999995E-7</v>
      </c>
      <c r="AD5" s="139">
        <f>IF(AD3+AD4&gt;=1,1,0)</f>
        <v>0</v>
      </c>
    </row>
    <row r="6" spans="1:44">
      <c r="A6" s="1226"/>
      <c r="B6" s="1227"/>
      <c r="C6" s="1228"/>
      <c r="D6" s="1226"/>
      <c r="E6" s="1227"/>
      <c r="F6" s="1228"/>
      <c r="G6" s="1226"/>
      <c r="H6" s="1242"/>
      <c r="K6" s="145">
        <v>0.1</v>
      </c>
    </row>
    <row r="7" spans="1:44">
      <c r="B7" s="40"/>
      <c r="C7" s="40"/>
      <c r="R7" s="147"/>
      <c r="S7" s="147"/>
      <c r="T7" s="1253"/>
      <c r="U7" s="1253"/>
      <c r="V7" s="82"/>
      <c r="AI7" s="149"/>
      <c r="AJ7" s="149"/>
      <c r="AK7" s="149"/>
      <c r="AL7" s="149"/>
      <c r="AM7" s="149"/>
      <c r="AN7" s="149"/>
      <c r="AO7" s="149"/>
      <c r="AP7" s="149"/>
      <c r="AQ7" s="149"/>
    </row>
    <row r="8" spans="1:44">
      <c r="A8" s="43" t="s">
        <v>729</v>
      </c>
      <c r="D8" s="43" t="s">
        <v>911</v>
      </c>
      <c r="F8" s="41" t="s">
        <v>4</v>
      </c>
      <c r="K8" s="138" t="s">
        <v>5</v>
      </c>
      <c r="U8" s="150"/>
      <c r="AC8" s="151"/>
    </row>
    <row r="9" spans="1:44">
      <c r="I9" s="152"/>
      <c r="J9" s="152"/>
      <c r="K9" s="138" t="s">
        <v>6</v>
      </c>
      <c r="Q9" s="32" t="s">
        <v>525</v>
      </c>
      <c r="R9" s="153"/>
      <c r="S9" s="147" t="str">
        <f>'Supporting borrower(s) Income'!D7</f>
        <v>No</v>
      </c>
      <c r="V9" s="40"/>
      <c r="AC9" s="154"/>
      <c r="AG9" s="1249" t="s">
        <v>191</v>
      </c>
      <c r="AH9" s="1250"/>
      <c r="AI9" s="1250"/>
      <c r="AJ9" s="1250"/>
      <c r="AK9" s="1250"/>
      <c r="AL9" s="1250"/>
      <c r="AM9" s="1250"/>
      <c r="AN9" s="1250"/>
      <c r="AO9" s="1250"/>
      <c r="AP9" s="1250"/>
      <c r="AQ9" s="1250"/>
      <c r="AR9" s="1251"/>
    </row>
    <row r="10" spans="1:44" ht="12.75" customHeight="1">
      <c r="A10" s="37" t="s">
        <v>14</v>
      </c>
      <c r="B10" s="37" t="s">
        <v>0</v>
      </c>
      <c r="C10" s="155">
        <f>'Supporting borrower(s) Income'!D56</f>
        <v>0</v>
      </c>
      <c r="F10" s="38" t="str">
        <f>'Supporting borrower(s) Income'!E56</f>
        <v>Monthly</v>
      </c>
      <c r="H10" s="1184" t="s">
        <v>767</v>
      </c>
      <c r="I10" s="1185"/>
      <c r="J10" s="152"/>
      <c r="K10" s="156">
        <f>IF(F10=$K$2,C10*12,IF(F10=$K$3,C10*52,C10))</f>
        <v>0</v>
      </c>
      <c r="L10" s="139" t="s">
        <v>103</v>
      </c>
      <c r="Q10" s="32" t="s">
        <v>526</v>
      </c>
      <c r="R10" s="153"/>
      <c r="S10" s="147" t="str">
        <f>'Supporting borrower(s) Income'!G7</f>
        <v>No</v>
      </c>
      <c r="AC10" s="154"/>
    </row>
    <row r="11" spans="1:44" ht="12.75" customHeight="1">
      <c r="B11" s="37" t="s">
        <v>1</v>
      </c>
      <c r="C11" s="155">
        <f>'Supporting borrower(s) Income'!G56</f>
        <v>0</v>
      </c>
      <c r="F11" s="38" t="str">
        <f>'Supporting borrower(s) Income'!H56</f>
        <v>Monthly</v>
      </c>
      <c r="H11" s="152"/>
      <c r="I11" s="152"/>
      <c r="J11" s="152"/>
      <c r="K11" s="156">
        <f>IF(F11=$K$2,C11*12,IF(F11=$K$3,C11*52,C11))</f>
        <v>0</v>
      </c>
      <c r="L11" s="139" t="s">
        <v>104</v>
      </c>
      <c r="V11" s="82" t="s">
        <v>720</v>
      </c>
      <c r="AC11" s="154"/>
      <c r="AG11" s="157" t="s">
        <v>176</v>
      </c>
    </row>
    <row r="12" spans="1:44" ht="12.75" customHeight="1">
      <c r="B12" s="37" t="s">
        <v>2</v>
      </c>
      <c r="D12" s="158">
        <f>C10+C11</f>
        <v>0</v>
      </c>
      <c r="AC12" s="151"/>
      <c r="AD12" s="139" t="s">
        <v>145</v>
      </c>
      <c r="AE12" s="147">
        <f>IF(D22&gt;0,0,COUNTIF(S9:S10,"Yes"))</f>
        <v>0</v>
      </c>
    </row>
    <row r="13" spans="1:44" ht="14.4">
      <c r="A13" s="40"/>
      <c r="D13" s="37"/>
      <c r="E13" s="40"/>
      <c r="F13" s="40"/>
      <c r="G13" s="40"/>
      <c r="K13" s="156">
        <f t="shared" ref="K13:K18" si="0">IF(F13=$K$2,D13*12,IF(F13=$K$3,D13*52,D13))</f>
        <v>0</v>
      </c>
      <c r="L13" s="159" t="s">
        <v>374</v>
      </c>
      <c r="R13" s="160" t="s">
        <v>226</v>
      </c>
      <c r="S13" s="161"/>
      <c r="V13" s="73" t="s">
        <v>619</v>
      </c>
      <c r="Y13" s="541"/>
      <c r="Z13" s="240" t="str">
        <f>IF(Y13="","&lt;&lt;MUST BE COMPLETED","")</f>
        <v>&lt;&lt;MUST BE COMPLETED</v>
      </c>
      <c r="AB13" s="162" t="s">
        <v>623</v>
      </c>
      <c r="AC13" s="148"/>
      <c r="AD13" s="153" t="s">
        <v>146</v>
      </c>
      <c r="AE13" s="147">
        <f>D21-AE12</f>
        <v>2</v>
      </c>
      <c r="AF13" s="147"/>
      <c r="AG13" s="163" t="s">
        <v>62</v>
      </c>
      <c r="AH13" s="164"/>
      <c r="AI13" s="165" t="s">
        <v>63</v>
      </c>
      <c r="AJ13" s="166" t="s">
        <v>64</v>
      </c>
      <c r="AK13" s="166" t="s">
        <v>65</v>
      </c>
      <c r="AL13" s="166" t="s">
        <v>66</v>
      </c>
      <c r="AM13" s="166" t="s">
        <v>67</v>
      </c>
      <c r="AN13" s="166" t="s">
        <v>27</v>
      </c>
      <c r="AO13" s="166" t="s">
        <v>68</v>
      </c>
      <c r="AP13" s="165" t="s">
        <v>69</v>
      </c>
      <c r="AQ13" s="166" t="s">
        <v>117</v>
      </c>
      <c r="AR13" s="167" t="s">
        <v>2</v>
      </c>
    </row>
    <row r="14" spans="1:44" ht="12.75" customHeight="1">
      <c r="D14" s="37"/>
      <c r="E14" s="40"/>
      <c r="F14" s="40"/>
      <c r="G14" s="40"/>
      <c r="K14" s="156">
        <f t="shared" si="0"/>
        <v>0</v>
      </c>
      <c r="L14" s="159" t="s">
        <v>375</v>
      </c>
      <c r="Q14" s="139" t="s">
        <v>138</v>
      </c>
      <c r="R14" s="168">
        <f>IF(S9="Yes",1,0)</f>
        <v>0</v>
      </c>
      <c r="S14" s="169"/>
      <c r="AB14" s="153">
        <f>SUM(Y15-Y13)</f>
        <v>0</v>
      </c>
      <c r="AD14" s="153"/>
      <c r="AE14" s="147"/>
      <c r="AF14" s="147"/>
      <c r="AG14" s="166"/>
      <c r="AH14" s="164"/>
      <c r="AI14" s="165" t="s">
        <v>70</v>
      </c>
      <c r="AJ14" s="164"/>
      <c r="AK14" s="164"/>
      <c r="AL14" s="164"/>
      <c r="AM14" s="164"/>
      <c r="AN14" s="164"/>
      <c r="AO14" s="164"/>
      <c r="AP14" s="170"/>
      <c r="AQ14" s="164" t="s">
        <v>118</v>
      </c>
    </row>
    <row r="15" spans="1:44" ht="12.75" customHeight="1">
      <c r="D15" s="37"/>
      <c r="E15" s="40"/>
      <c r="F15" s="40"/>
      <c r="G15" s="40"/>
      <c r="K15" s="156">
        <f t="shared" si="0"/>
        <v>0</v>
      </c>
      <c r="L15" s="159" t="s">
        <v>376</v>
      </c>
      <c r="Q15" s="139" t="s">
        <v>139</v>
      </c>
      <c r="R15" s="168">
        <f>IF(S10="Yes",1,IF(S10="N/A",1,0))</f>
        <v>0</v>
      </c>
      <c r="S15" s="169"/>
      <c r="V15" s="73" t="s">
        <v>618</v>
      </c>
      <c r="Y15" s="541"/>
      <c r="Z15" s="240" t="str">
        <f>IF(Y15="","&lt;&lt;MUST BE COMPLETED","")</f>
        <v>&lt;&lt;MUST BE COMPLETED</v>
      </c>
      <c r="AB15" s="162" t="s">
        <v>624</v>
      </c>
      <c r="AD15" s="153" t="str">
        <f>IF(AE13=0,AE12&amp;" retired adult, no children",IF(D21=1,"1 adult, ","2 adults, ")&amp;IF(D22=1,"1 child",D22&amp;" children"))</f>
        <v>2 adults, 0 children</v>
      </c>
      <c r="AE15" s="147" t="str">
        <f>VLOOKUP(AD15,$AD$18:$AE$26,2)</f>
        <v>B</v>
      </c>
      <c r="AF15" s="147"/>
      <c r="AG15" s="166"/>
      <c r="AH15" s="164"/>
      <c r="AI15" s="171"/>
      <c r="AJ15" s="171"/>
      <c r="AK15" s="171"/>
      <c r="AL15" s="171"/>
      <c r="AM15" s="171"/>
      <c r="AN15" s="171"/>
      <c r="AO15" s="164"/>
      <c r="AP15" s="170"/>
      <c r="AQ15" s="164"/>
    </row>
    <row r="16" spans="1:44" ht="12.75" customHeight="1">
      <c r="A16" s="559" t="s">
        <v>879</v>
      </c>
      <c r="D16" s="155">
        <f>('Supporting borrower(s) Income'!D61+'Supporting borrower(s) Income'!G61)</f>
        <v>0</v>
      </c>
      <c r="E16" s="40"/>
      <c r="F16" s="38" t="s">
        <v>7</v>
      </c>
      <c r="G16" s="172" t="str">
        <f>IF(D16&gt;0,"No tax has been deducted from this amount","Not applicable")</f>
        <v>Not applicable</v>
      </c>
      <c r="H16" s="173"/>
      <c r="K16" s="156">
        <f t="shared" si="0"/>
        <v>0</v>
      </c>
      <c r="L16" s="146" t="s">
        <v>884</v>
      </c>
      <c r="Q16" s="139" t="s">
        <v>140</v>
      </c>
      <c r="R16" s="174">
        <f>R14+R15</f>
        <v>0</v>
      </c>
      <c r="S16" s="175"/>
      <c r="AB16" s="153">
        <f>SUM(85-Y13)</f>
        <v>85</v>
      </c>
      <c r="AD16" s="147"/>
      <c r="AE16" s="147"/>
      <c r="AF16" s="147"/>
      <c r="AG16" s="176" t="s">
        <v>13</v>
      </c>
      <c r="AH16" s="164"/>
      <c r="AI16" s="177"/>
      <c r="AJ16" s="178"/>
      <c r="AK16" s="178"/>
      <c r="AL16" s="178"/>
      <c r="AM16" s="178"/>
      <c r="AN16" s="178"/>
      <c r="AO16" s="178"/>
      <c r="AP16" s="179"/>
      <c r="AQ16" s="180"/>
    </row>
    <row r="17" spans="1:44" ht="12.75" customHeight="1">
      <c r="A17" s="559" t="s">
        <v>883</v>
      </c>
      <c r="D17" s="155">
        <f>('Supporting borrower(s) Income'!D62+'Supporting borrower(s) Income'!G62)*50%</f>
        <v>0</v>
      </c>
      <c r="E17" s="40"/>
      <c r="F17" s="38" t="s">
        <v>7</v>
      </c>
      <c r="G17" s="172" t="str">
        <f>IF(D17&gt;0,"No tax has been deducted from this amount","Not applicable")</f>
        <v>Not applicable</v>
      </c>
      <c r="K17" s="156">
        <f t="shared" si="0"/>
        <v>0</v>
      </c>
      <c r="L17" s="146" t="s">
        <v>885</v>
      </c>
      <c r="V17" s="40" t="s">
        <v>714</v>
      </c>
      <c r="Y17" s="542">
        <v>0</v>
      </c>
      <c r="Z17" s="43"/>
      <c r="AD17" s="181" t="s">
        <v>75</v>
      </c>
      <c r="AE17" s="182"/>
      <c r="AF17" s="147"/>
      <c r="AG17" s="183" t="s">
        <v>76</v>
      </c>
      <c r="AH17" s="166" t="s">
        <v>77</v>
      </c>
      <c r="AI17" s="184">
        <f>'Occupy borrower Affordability'!AJ18</f>
        <v>70.3</v>
      </c>
      <c r="AJ17" s="185">
        <f>'Occupy borrower Affordability'!AK18</f>
        <v>11.6</v>
      </c>
      <c r="AK17" s="185">
        <f>'Occupy borrower Affordability'!AL18</f>
        <v>5.5</v>
      </c>
      <c r="AL17" s="185">
        <f>'Occupy borrower Affordability'!AM18</f>
        <v>31.4</v>
      </c>
      <c r="AM17" s="185">
        <f>'Occupy borrower Affordability'!AN18</f>
        <v>9.3000000000000007</v>
      </c>
      <c r="AN17" s="185">
        <f>'Occupy borrower Affordability'!AO18</f>
        <v>9.8000000000000007</v>
      </c>
      <c r="AO17" s="185">
        <f>'Occupy borrower Affordability'!AP18</f>
        <v>41.5</v>
      </c>
      <c r="AP17" s="186">
        <f>'Occupy borrower Affordability'!AQ18</f>
        <v>45.3</v>
      </c>
      <c r="AQ17" s="187">
        <f>'Occupy borrower Affordability'!AR18</f>
        <v>26.9</v>
      </c>
      <c r="AR17" s="188">
        <f>SUM(AI17:AQ17)</f>
        <v>251.6</v>
      </c>
    </row>
    <row r="18" spans="1:44" ht="12.75" customHeight="1">
      <c r="D18" s="37"/>
      <c r="E18" s="40"/>
      <c r="F18" s="40"/>
      <c r="G18" s="40"/>
      <c r="H18" s="173"/>
      <c r="K18" s="156">
        <f t="shared" si="0"/>
        <v>0</v>
      </c>
      <c r="L18" s="159" t="s">
        <v>377</v>
      </c>
      <c r="Y18" s="40" t="s">
        <v>26</v>
      </c>
      <c r="AC18" s="148"/>
      <c r="AD18" s="153" t="s">
        <v>78</v>
      </c>
      <c r="AE18" s="147" t="s">
        <v>77</v>
      </c>
      <c r="AF18" s="147"/>
      <c r="AG18" s="183" t="s">
        <v>79</v>
      </c>
      <c r="AH18" s="166" t="s">
        <v>12</v>
      </c>
      <c r="AI18" s="184">
        <f>'Occupy borrower Affordability'!AJ19</f>
        <v>84.1</v>
      </c>
      <c r="AJ18" s="185">
        <f>'Occupy borrower Affordability'!AK19</f>
        <v>19.600000000000001</v>
      </c>
      <c r="AK18" s="185">
        <f>'Occupy borrower Affordability'!AL19</f>
        <v>7.2</v>
      </c>
      <c r="AL18" s="185">
        <f>'Occupy borrower Affordability'!AM19</f>
        <v>61</v>
      </c>
      <c r="AM18" s="185">
        <f>'Occupy borrower Affordability'!AN19</f>
        <v>15.2</v>
      </c>
      <c r="AN18" s="185">
        <f>'Occupy borrower Affordability'!AO19</f>
        <v>25.1</v>
      </c>
      <c r="AO18" s="185">
        <f>'Occupy borrower Affordability'!AP19</f>
        <v>87</v>
      </c>
      <c r="AP18" s="186">
        <f>'Occupy borrower Affordability'!AQ19</f>
        <v>97.4</v>
      </c>
      <c r="AQ18" s="187">
        <f>'Occupy borrower Affordability'!AR19</f>
        <v>49.7</v>
      </c>
      <c r="AR18" s="188">
        <f>SUM(AI18:AQ18)</f>
        <v>446.2999999999999</v>
      </c>
    </row>
    <row r="19" spans="1:44" ht="12.75" customHeight="1">
      <c r="K19" s="189">
        <f t="array" ref="K19">SUM(K10:K11+K16)</f>
        <v>0</v>
      </c>
      <c r="Q19" s="190" t="s">
        <v>527</v>
      </c>
      <c r="S19" s="147" t="str">
        <f>'Supporting borrower(s) Income'!D9</f>
        <v>Yes</v>
      </c>
      <c r="W19" s="191"/>
      <c r="X19" s="191"/>
      <c r="AD19" s="153" t="s">
        <v>72</v>
      </c>
      <c r="AE19" s="147" t="s">
        <v>73</v>
      </c>
      <c r="AF19" s="147"/>
      <c r="AG19" s="183" t="s">
        <v>80</v>
      </c>
      <c r="AH19" s="166" t="s">
        <v>73</v>
      </c>
      <c r="AI19" s="184">
        <f>'Occupy borrower Affordability'!AJ20</f>
        <v>85.2</v>
      </c>
      <c r="AJ19" s="185">
        <f>'Occupy borrower Affordability'!AK20</f>
        <v>14.8</v>
      </c>
      <c r="AK19" s="185">
        <f>'Occupy borrower Affordability'!AL20</f>
        <v>1.3</v>
      </c>
      <c r="AL19" s="185">
        <f>'Occupy borrower Affordability'!AM20</f>
        <v>40.5</v>
      </c>
      <c r="AM19" s="185">
        <f>'Occupy borrower Affordability'!AN20</f>
        <v>4.7</v>
      </c>
      <c r="AN19" s="185">
        <f>'Occupy borrower Affordability'!AO20</f>
        <v>17.899999999999999</v>
      </c>
      <c r="AO19" s="185">
        <f>'Occupy borrower Affordability'!AP20</f>
        <v>38.4</v>
      </c>
      <c r="AP19" s="186">
        <f>'Occupy borrower Affordability'!AQ20</f>
        <v>44.7</v>
      </c>
      <c r="AQ19" s="187">
        <f>'Occupy borrower Affordability'!AR20</f>
        <v>35.6</v>
      </c>
      <c r="AR19" s="188">
        <f t="shared" ref="AR19:AR25" si="1">SUM(AI19:AQ19)</f>
        <v>283.10000000000002</v>
      </c>
    </row>
    <row r="20" spans="1:44" ht="12.75" customHeight="1">
      <c r="A20" s="43" t="s">
        <v>512</v>
      </c>
      <c r="Q20" s="190" t="s">
        <v>528</v>
      </c>
      <c r="S20" s="147" t="str">
        <f>'Supporting borrower(s) Income'!G9</f>
        <v>N/a</v>
      </c>
      <c r="V20" s="82" t="s">
        <v>721</v>
      </c>
      <c r="W20" s="191"/>
      <c r="X20" s="191"/>
      <c r="AD20" s="153" t="s">
        <v>81</v>
      </c>
      <c r="AE20" s="147" t="s">
        <v>82</v>
      </c>
      <c r="AF20" s="147"/>
      <c r="AG20" s="183" t="s">
        <v>83</v>
      </c>
      <c r="AH20" s="166" t="s">
        <v>82</v>
      </c>
      <c r="AI20" s="184">
        <f>'Occupy borrower Affordability'!AJ21</f>
        <v>63.3</v>
      </c>
      <c r="AJ20" s="185">
        <f>'Occupy borrower Affordability'!AK21</f>
        <v>15.5</v>
      </c>
      <c r="AK20" s="185">
        <f>'Occupy borrower Affordability'!AL21</f>
        <v>4.2</v>
      </c>
      <c r="AL20" s="185">
        <f>'Occupy borrower Affordability'!AM21</f>
        <v>57.1</v>
      </c>
      <c r="AM20" s="185">
        <f>'Occupy borrower Affordability'!AN21</f>
        <v>7.1</v>
      </c>
      <c r="AN20" s="185">
        <f>'Occupy borrower Affordability'!AO21</f>
        <v>25.2</v>
      </c>
      <c r="AO20" s="185">
        <f>'Occupy borrower Affordability'!AP21</f>
        <v>48.7</v>
      </c>
      <c r="AP20" s="186">
        <f>'Occupy borrower Affordability'!AQ21</f>
        <v>40.6</v>
      </c>
      <c r="AQ20" s="187">
        <f>'Occupy borrower Affordability'!AR21</f>
        <v>23.5</v>
      </c>
      <c r="AR20" s="188">
        <f t="shared" si="1"/>
        <v>285.2</v>
      </c>
    </row>
    <row r="21" spans="1:44" ht="12.75" customHeight="1">
      <c r="A21" s="37" t="s">
        <v>71</v>
      </c>
      <c r="D21" s="38">
        <f>'Income &amp; Committed Expenditure'!J46</f>
        <v>2</v>
      </c>
      <c r="E21" s="40" t="s">
        <v>105</v>
      </c>
      <c r="F21" s="1256" t="s">
        <v>529</v>
      </c>
      <c r="G21" s="1257"/>
      <c r="H21" s="1257"/>
      <c r="I21" s="1258"/>
      <c r="K21" s="139" t="str">
        <f>IF(S27=0,"*Max. Income multiple 4.5 x as Family member(s) under age of 80",IF(S27=1,"*Max. Income Multiple 3.5 x as reliant on income of at least one Family member age 80 or over"))</f>
        <v>*Max. Income Multiple 3.5 x as reliant on income of at least one Family member age 80 or over</v>
      </c>
      <c r="W21" s="191"/>
      <c r="X21" s="191"/>
      <c r="AD21" s="153" t="s">
        <v>141</v>
      </c>
      <c r="AE21" s="166" t="s">
        <v>143</v>
      </c>
      <c r="AF21" s="147"/>
      <c r="AG21" s="183" t="s">
        <v>86</v>
      </c>
      <c r="AH21" s="166" t="s">
        <v>87</v>
      </c>
      <c r="AI21" s="184">
        <f>'Occupy borrower Affordability'!AJ22</f>
        <v>86</v>
      </c>
      <c r="AJ21" s="185">
        <f>'Occupy borrower Affordability'!AK22</f>
        <v>21.3</v>
      </c>
      <c r="AK21" s="185">
        <f>'Occupy borrower Affordability'!AL22</f>
        <v>5.4</v>
      </c>
      <c r="AL21" s="185">
        <f>'Occupy borrower Affordability'!AM22</f>
        <v>69.7</v>
      </c>
      <c r="AM21" s="185">
        <f>'Occupy borrower Affordability'!AN22</f>
        <v>11.3</v>
      </c>
      <c r="AN21" s="185">
        <f>'Occupy borrower Affordability'!AO22</f>
        <v>26.7</v>
      </c>
      <c r="AO21" s="185">
        <f>'Occupy borrower Affordability'!AP22</f>
        <v>68</v>
      </c>
      <c r="AP21" s="186">
        <f>'Occupy borrower Affordability'!AQ22</f>
        <v>94.4</v>
      </c>
      <c r="AQ21" s="187">
        <f>'Occupy borrower Affordability'!AR22</f>
        <v>53.4</v>
      </c>
      <c r="AR21" s="188">
        <f t="shared" si="1"/>
        <v>436.19999999999993</v>
      </c>
    </row>
    <row r="22" spans="1:44" ht="12.75" customHeight="1">
      <c r="A22" s="37" t="s">
        <v>74</v>
      </c>
      <c r="D22" s="38">
        <f>'Income &amp; Committed Expenditure'!J47</f>
        <v>0</v>
      </c>
      <c r="F22" s="1259"/>
      <c r="G22" s="1260"/>
      <c r="H22" s="1260"/>
      <c r="I22" s="1261"/>
      <c r="J22" s="37" t="s">
        <v>26</v>
      </c>
      <c r="K22" s="156"/>
      <c r="V22" s="73" t="s">
        <v>619</v>
      </c>
      <c r="W22" s="191"/>
      <c r="X22" s="191"/>
      <c r="Y22" s="541"/>
      <c r="Z22" s="240" t="str">
        <f>IF(Y22="","&lt;&lt;MUST BE COMPLETED","")</f>
        <v>&lt;&lt;MUST BE COMPLETED</v>
      </c>
      <c r="AB22" s="162" t="s">
        <v>623</v>
      </c>
      <c r="AD22" s="153" t="s">
        <v>85</v>
      </c>
      <c r="AE22" s="147" t="s">
        <v>12</v>
      </c>
      <c r="AF22" s="147"/>
      <c r="AG22" s="183" t="s">
        <v>89</v>
      </c>
      <c r="AH22" s="166" t="s">
        <v>90</v>
      </c>
      <c r="AI22" s="184">
        <f>'Occupy borrower Affordability'!AJ23</f>
        <v>89.2</v>
      </c>
      <c r="AJ22" s="185">
        <f>'Occupy borrower Affordability'!AK23</f>
        <v>22.6</v>
      </c>
      <c r="AK22" s="185">
        <f>'Occupy borrower Affordability'!AL23</f>
        <v>6</v>
      </c>
      <c r="AL22" s="185">
        <f>'Occupy borrower Affordability'!AM23</f>
        <v>84</v>
      </c>
      <c r="AM22" s="185">
        <f>'Occupy borrower Affordability'!AN23</f>
        <v>12.3</v>
      </c>
      <c r="AN22" s="185">
        <f>'Occupy borrower Affordability'!AO23</f>
        <v>44.2</v>
      </c>
      <c r="AO22" s="185">
        <f>'Occupy borrower Affordability'!AP23</f>
        <v>105</v>
      </c>
      <c r="AP22" s="186">
        <f>'Occupy borrower Affordability'!AQ23</f>
        <v>119.5</v>
      </c>
      <c r="AQ22" s="187">
        <f>'Occupy borrower Affordability'!AR23</f>
        <v>47.2</v>
      </c>
      <c r="AR22" s="188">
        <f t="shared" si="1"/>
        <v>530</v>
      </c>
    </row>
    <row r="23" spans="1:44" ht="15">
      <c r="K23" s="156"/>
      <c r="L23" s="192" t="s">
        <v>5</v>
      </c>
      <c r="O23" s="1241" t="s">
        <v>241</v>
      </c>
      <c r="P23" s="1241"/>
      <c r="Q23" s="1241"/>
      <c r="R23" s="1241"/>
      <c r="S23" s="1241"/>
      <c r="W23" s="191"/>
      <c r="X23" s="191"/>
      <c r="AB23" s="153">
        <f>SUM(Y24-Y22)</f>
        <v>0</v>
      </c>
      <c r="AD23" s="153" t="s">
        <v>88</v>
      </c>
      <c r="AE23" s="147" t="s">
        <v>87</v>
      </c>
      <c r="AF23" s="147"/>
      <c r="AG23" s="183" t="s">
        <v>93</v>
      </c>
      <c r="AH23" s="166" t="s">
        <v>94</v>
      </c>
      <c r="AI23" s="184">
        <f>'Occupy borrower Affordability'!AJ24</f>
        <v>100.6</v>
      </c>
      <c r="AJ23" s="185">
        <f>'Occupy borrower Affordability'!AK24</f>
        <v>23.8</v>
      </c>
      <c r="AK23" s="185">
        <f>'Occupy borrower Affordability'!AL24</f>
        <v>6.7</v>
      </c>
      <c r="AL23" s="185">
        <f>'Occupy borrower Affordability'!AM24</f>
        <v>89.5</v>
      </c>
      <c r="AM23" s="185">
        <f>'Occupy borrower Affordability'!AN24</f>
        <v>13.4</v>
      </c>
      <c r="AN23" s="185">
        <f>'Occupy borrower Affordability'!AO24</f>
        <v>35.200000000000003</v>
      </c>
      <c r="AO23" s="185">
        <f>'Occupy borrower Affordability'!AP24</f>
        <v>91.9</v>
      </c>
      <c r="AP23" s="186">
        <f>'Occupy borrower Affordability'!AQ24</f>
        <v>94.3</v>
      </c>
      <c r="AQ23" s="187">
        <f>'Occupy borrower Affordability'!AR24</f>
        <v>51.3</v>
      </c>
      <c r="AR23" s="188">
        <f t="shared" si="1"/>
        <v>506.70000000000005</v>
      </c>
    </row>
    <row r="24" spans="1:44">
      <c r="A24" s="43" t="s">
        <v>21</v>
      </c>
      <c r="F24" s="193" t="str">
        <f>IF(P55=2, N40,N41)</f>
        <v xml:space="preserve">*Below the state retirement age </v>
      </c>
      <c r="L24" s="192" t="s">
        <v>18</v>
      </c>
      <c r="O24" s="194"/>
      <c r="Q24" s="139" t="s">
        <v>242</v>
      </c>
      <c r="V24" s="73" t="s">
        <v>618</v>
      </c>
      <c r="W24" s="191"/>
      <c r="X24" s="191"/>
      <c r="Y24" s="541"/>
      <c r="Z24" s="240" t="str">
        <f>IF(Y24="","&lt;&lt;MUST BE COMPLETED","")</f>
        <v>&lt;&lt;MUST BE COMPLETED</v>
      </c>
      <c r="AB24" s="162" t="s">
        <v>624</v>
      </c>
      <c r="AD24" s="153" t="s">
        <v>92</v>
      </c>
      <c r="AE24" s="147" t="s">
        <v>90</v>
      </c>
      <c r="AF24" s="147"/>
      <c r="AG24" s="153" t="s">
        <v>141</v>
      </c>
      <c r="AH24" s="166" t="s">
        <v>143</v>
      </c>
      <c r="AI24" s="184">
        <f>'Occupy borrower Affordability'!AJ25</f>
        <v>41.5</v>
      </c>
      <c r="AJ24" s="185">
        <f>'Occupy borrower Affordability'!AK25</f>
        <v>9.5</v>
      </c>
      <c r="AK24" s="185">
        <f>'Occupy borrower Affordability'!AL25</f>
        <v>3.5</v>
      </c>
      <c r="AL24" s="185">
        <f>'Occupy borrower Affordability'!AM25</f>
        <v>33.700000000000003</v>
      </c>
      <c r="AM24" s="185">
        <f>'Occupy borrower Affordability'!AN25</f>
        <v>6</v>
      </c>
      <c r="AN24" s="185">
        <f>'Occupy borrower Affordability'!AO25</f>
        <v>7.3</v>
      </c>
      <c r="AO24" s="185">
        <f>'Occupy borrower Affordability'!AP25</f>
        <v>39</v>
      </c>
      <c r="AP24" s="186">
        <f>'Occupy borrower Affordability'!AQ25</f>
        <v>23.3</v>
      </c>
      <c r="AQ24" s="187">
        <f>'Occupy borrower Affordability'!AR25</f>
        <v>22.5</v>
      </c>
      <c r="AR24" s="188">
        <f t="shared" si="1"/>
        <v>186.3</v>
      </c>
    </row>
    <row r="25" spans="1:44">
      <c r="H25" s="173"/>
      <c r="L25" s="192" t="s">
        <v>7</v>
      </c>
      <c r="O25" s="194" t="s">
        <v>243</v>
      </c>
      <c r="P25" s="195">
        <v>4.5</v>
      </c>
      <c r="Q25" s="139" t="s">
        <v>244</v>
      </c>
      <c r="S25" s="147">
        <f>IF(S19="Yes",1,0)</f>
        <v>1</v>
      </c>
      <c r="AB25" s="153">
        <f>SUM(85-Y22)</f>
        <v>85</v>
      </c>
      <c r="AD25" s="153" t="s">
        <v>95</v>
      </c>
      <c r="AE25" s="147" t="s">
        <v>94</v>
      </c>
      <c r="AF25" s="183"/>
      <c r="AG25" s="153" t="s">
        <v>142</v>
      </c>
      <c r="AH25" s="166" t="s">
        <v>144</v>
      </c>
      <c r="AI25" s="184">
        <f>'Occupy borrower Affordability'!AJ26</f>
        <v>53.3</v>
      </c>
      <c r="AJ25" s="185">
        <f>'Occupy borrower Affordability'!AK26</f>
        <v>14.6</v>
      </c>
      <c r="AK25" s="185">
        <f>'Occupy borrower Affordability'!AL26</f>
        <v>11.8</v>
      </c>
      <c r="AL25" s="185">
        <f>'Occupy borrower Affordability'!AM26</f>
        <v>64.599999999999994</v>
      </c>
      <c r="AM25" s="185">
        <f>'Occupy borrower Affordability'!AN26</f>
        <v>14</v>
      </c>
      <c r="AN25" s="185">
        <f>'Occupy borrower Affordability'!AO26</f>
        <v>19</v>
      </c>
      <c r="AO25" s="185">
        <f>'Occupy borrower Affordability'!AP26</f>
        <v>92.6</v>
      </c>
      <c r="AP25" s="186">
        <f>'Occupy borrower Affordability'!AQ26</f>
        <v>66.599999999999994</v>
      </c>
      <c r="AQ25" s="187">
        <f>'Occupy borrower Affordability'!AR26</f>
        <v>39</v>
      </c>
      <c r="AR25" s="188">
        <f t="shared" si="1"/>
        <v>375.5</v>
      </c>
    </row>
    <row r="26" spans="1:44">
      <c r="A26" s="40" t="s">
        <v>236</v>
      </c>
      <c r="D26" s="196">
        <f>'Income &amp; Committed Expenditure'!B67</f>
        <v>0</v>
      </c>
      <c r="E26" s="40" t="s">
        <v>105</v>
      </c>
      <c r="F26" s="38" t="s">
        <v>7</v>
      </c>
      <c r="G26" s="73" t="str">
        <f>IF(D26&gt;0,"*N.B. Mortgage payment stressed","*Not applicable")</f>
        <v>*Not applicable</v>
      </c>
      <c r="H26" s="173"/>
      <c r="K26" s="197">
        <f>IF(F26=$K$2,D26*12,IF(F26=$K$3,D26*52,D26))</f>
        <v>0</v>
      </c>
      <c r="O26" s="194" t="s">
        <v>245</v>
      </c>
      <c r="P26" s="195">
        <v>3.5</v>
      </c>
      <c r="Q26" s="139" t="s">
        <v>246</v>
      </c>
      <c r="S26" s="147">
        <f>IF(S20="Yes",1,0)</f>
        <v>0</v>
      </c>
      <c r="V26" s="40" t="s">
        <v>714</v>
      </c>
      <c r="Y26" s="543">
        <v>0</v>
      </c>
      <c r="Z26" s="43"/>
      <c r="AD26" s="153" t="s">
        <v>142</v>
      </c>
      <c r="AE26" s="166" t="s">
        <v>144</v>
      </c>
      <c r="AF26" s="183"/>
      <c r="AG26" s="164"/>
      <c r="AH26" s="164"/>
      <c r="AI26" s="198"/>
      <c r="AJ26" s="199"/>
      <c r="AK26" s="199"/>
      <c r="AL26" s="199"/>
      <c r="AM26" s="199"/>
      <c r="AN26" s="199"/>
      <c r="AO26" s="200"/>
      <c r="AP26" s="201"/>
      <c r="AQ26" s="202"/>
    </row>
    <row r="27" spans="1:44">
      <c r="A27" s="40"/>
      <c r="O27" s="203"/>
      <c r="S27" s="204">
        <f>IF(S25+S26=2,1,IF(S25+S26=1,1,0))</f>
        <v>1</v>
      </c>
      <c r="AD27" s="153"/>
      <c r="AE27" s="147"/>
      <c r="AF27" s="147"/>
      <c r="AG27" s="183"/>
      <c r="AH27" s="164"/>
      <c r="AI27" s="170"/>
      <c r="AJ27" s="164"/>
      <c r="AK27" s="164"/>
      <c r="AL27" s="164"/>
      <c r="AM27" s="164"/>
      <c r="AN27" s="164"/>
      <c r="AO27" s="164"/>
      <c r="AP27" s="170"/>
      <c r="AQ27" s="164"/>
    </row>
    <row r="28" spans="1:44">
      <c r="A28" s="40" t="s">
        <v>490</v>
      </c>
      <c r="D28" s="155">
        <f>SUM('Income &amp; Committed Expenditure'!B68+'Income &amp; Committed Expenditure'!E68)</f>
        <v>0</v>
      </c>
      <c r="F28" s="38" t="s">
        <v>7</v>
      </c>
      <c r="G28" s="31"/>
      <c r="H28" s="1252" t="s">
        <v>9</v>
      </c>
      <c r="I28" s="1185"/>
      <c r="K28" s="197">
        <f>IF(F28=$K$2,D28*12,IF(F28=$K$3,D28*52,D28))</f>
        <v>0</v>
      </c>
      <c r="AD28" s="1254" t="s">
        <v>412</v>
      </c>
      <c r="AE28" s="1255"/>
      <c r="AF28" s="147"/>
      <c r="AG28" s="183"/>
      <c r="AH28" s="164"/>
      <c r="AI28" s="170"/>
      <c r="AJ28" s="164"/>
      <c r="AK28" s="164"/>
      <c r="AL28" s="164"/>
      <c r="AM28" s="164"/>
      <c r="AN28" s="164"/>
      <c r="AO28" s="164"/>
      <c r="AP28" s="170"/>
      <c r="AQ28" s="164"/>
    </row>
    <row r="29" spans="1:44">
      <c r="A29" s="40" t="s">
        <v>8</v>
      </c>
      <c r="D29" s="155">
        <f>SUM('Income &amp; Committed Expenditure'!B69+'Income &amp; Committed Expenditure'!E69)</f>
        <v>0</v>
      </c>
      <c r="F29" s="38" t="s">
        <v>7</v>
      </c>
      <c r="G29" s="31"/>
      <c r="H29" s="38" t="s">
        <v>10</v>
      </c>
      <c r="I29" s="207" t="s">
        <v>11</v>
      </c>
      <c r="K29" s="197">
        <f>IF(F29=$K$2,D29*12,IF(F29=$K$3,D29*52,D29))</f>
        <v>0</v>
      </c>
      <c r="M29" s="162" t="s">
        <v>248</v>
      </c>
      <c r="N29" s="162"/>
      <c r="O29" s="162"/>
      <c r="P29" s="162"/>
      <c r="AD29" s="205" t="s">
        <v>413</v>
      </c>
      <c r="AE29" s="206" t="s">
        <v>77</v>
      </c>
      <c r="AF29" s="147"/>
      <c r="AG29" s="163" t="s">
        <v>7</v>
      </c>
      <c r="AH29" s="164"/>
      <c r="AI29" s="170"/>
      <c r="AJ29" s="164"/>
      <c r="AK29" s="164"/>
      <c r="AL29" s="164"/>
      <c r="AM29" s="164"/>
      <c r="AN29" s="164"/>
      <c r="AO29" s="164"/>
      <c r="AP29" s="170"/>
      <c r="AQ29" s="164"/>
    </row>
    <row r="30" spans="1:44" ht="12.75" customHeight="1">
      <c r="A30" s="40" t="s">
        <v>563</v>
      </c>
      <c r="D30" s="155">
        <f>SUM('Income &amp; Committed Expenditure'!B70+'Income &amp; Committed Expenditure'!E70)</f>
        <v>0</v>
      </c>
      <c r="F30" s="38" t="s">
        <v>7</v>
      </c>
      <c r="G30" s="31"/>
      <c r="H30" s="208">
        <f>SUM('Income &amp; Committed Expenditure'!I69:I70)</f>
        <v>0</v>
      </c>
      <c r="I30" s="209">
        <v>0.03</v>
      </c>
      <c r="K30" s="197">
        <f>IF(F30=$K$2,D30*12,IF(F30=$K$3,D30*52,D30))</f>
        <v>0</v>
      </c>
      <c r="AD30" s="205" t="s">
        <v>414</v>
      </c>
      <c r="AE30" s="206" t="s">
        <v>12</v>
      </c>
      <c r="AF30" s="147"/>
      <c r="AG30" s="183" t="s">
        <v>76</v>
      </c>
      <c r="AH30" s="166" t="s">
        <v>77</v>
      </c>
      <c r="AI30" s="186">
        <f t="shared" ref="AI30:AQ30" si="2">AI17*4.333333333333</f>
        <v>304.63333333330991</v>
      </c>
      <c r="AJ30" s="185">
        <f t="shared" si="2"/>
        <v>50.2666666666628</v>
      </c>
      <c r="AK30" s="185">
        <f t="shared" si="2"/>
        <v>23.833333333331499</v>
      </c>
      <c r="AL30" s="185">
        <f t="shared" si="2"/>
        <v>136.0666666666562</v>
      </c>
      <c r="AM30" s="185">
        <f t="shared" si="2"/>
        <v>40.299999999996906</v>
      </c>
      <c r="AN30" s="185">
        <f t="shared" si="2"/>
        <v>42.4666666666634</v>
      </c>
      <c r="AO30" s="185">
        <f t="shared" si="2"/>
        <v>179.8333333333195</v>
      </c>
      <c r="AP30" s="186">
        <f t="shared" si="2"/>
        <v>196.29999999998489</v>
      </c>
      <c r="AQ30" s="185">
        <f t="shared" si="2"/>
        <v>116.5666666666577</v>
      </c>
      <c r="AR30" s="188">
        <f>SUM(AI30:AQ30)</f>
        <v>1090.2666666665828</v>
      </c>
    </row>
    <row r="31" spans="1:44">
      <c r="A31" s="40" t="s">
        <v>551</v>
      </c>
      <c r="D31" s="155">
        <f>'Income &amp; Committed Expenditure'!B71</f>
        <v>0</v>
      </c>
      <c r="F31" s="38" t="s">
        <v>7</v>
      </c>
      <c r="G31" s="31"/>
      <c r="K31" s="197">
        <f>IF(F31=$K$2,D31*12,IF(F31=$K$3,D31*52,D31))</f>
        <v>0</v>
      </c>
      <c r="AD31" s="205" t="s">
        <v>72</v>
      </c>
      <c r="AE31" s="206" t="s">
        <v>73</v>
      </c>
      <c r="AF31" s="147"/>
      <c r="AG31" s="183" t="s">
        <v>79</v>
      </c>
      <c r="AH31" s="166" t="s">
        <v>12</v>
      </c>
      <c r="AI31" s="186">
        <f t="shared" ref="AI31:AQ31" si="3">AI18*4.333333333333</f>
        <v>364.43333333330526</v>
      </c>
      <c r="AJ31" s="185">
        <f t="shared" si="3"/>
        <v>84.9333333333268</v>
      </c>
      <c r="AK31" s="185">
        <f t="shared" si="3"/>
        <v>31.199999999997601</v>
      </c>
      <c r="AL31" s="185">
        <f t="shared" si="3"/>
        <v>264.33333333331302</v>
      </c>
      <c r="AM31" s="185">
        <f t="shared" si="3"/>
        <v>65.866666666661601</v>
      </c>
      <c r="AN31" s="185">
        <f t="shared" si="3"/>
        <v>108.76666666665831</v>
      </c>
      <c r="AO31" s="185">
        <f t="shared" si="3"/>
        <v>376.99999999997101</v>
      </c>
      <c r="AP31" s="186">
        <f t="shared" si="3"/>
        <v>422.06666666663421</v>
      </c>
      <c r="AQ31" s="185">
        <f t="shared" si="3"/>
        <v>215.3666666666501</v>
      </c>
      <c r="AR31" s="188">
        <f t="shared" ref="AR31:AR36" si="4">SUM(AI31:AQ31)</f>
        <v>1933.9666666665182</v>
      </c>
    </row>
    <row r="32" spans="1:44">
      <c r="A32" s="40" t="s">
        <v>235</v>
      </c>
      <c r="D32" s="155">
        <f>'Income &amp; Committed Expenditure'!B72</f>
        <v>0</v>
      </c>
      <c r="F32" s="38" t="s">
        <v>7</v>
      </c>
      <c r="G32" s="31"/>
      <c r="H32" s="143" t="s">
        <v>995</v>
      </c>
      <c r="J32" s="751" t="s">
        <v>139</v>
      </c>
      <c r="K32" s="197">
        <f>IF(F32=$K$2,D32*12,IF(F32=$K$3,D32*52,D32))</f>
        <v>0</v>
      </c>
      <c r="M32" s="139" t="s">
        <v>247</v>
      </c>
      <c r="P32" s="139">
        <f>IF(S27=0,P25,0)</f>
        <v>0</v>
      </c>
      <c r="R32" s="153" t="s">
        <v>243</v>
      </c>
      <c r="S32" s="210">
        <f>IF(P32=0,0,IF(M33&lt;=0,"FAIL",IF(M33&gt;P32,"FAIL",IF(M33&lt;=P32,"PASS"))))</f>
        <v>0</v>
      </c>
      <c r="AD32" s="205" t="s">
        <v>415</v>
      </c>
      <c r="AE32" s="206" t="s">
        <v>82</v>
      </c>
      <c r="AF32" s="147"/>
      <c r="AG32" s="183" t="s">
        <v>80</v>
      </c>
      <c r="AH32" s="166" t="s">
        <v>73</v>
      </c>
      <c r="AI32" s="186">
        <f t="shared" ref="AI32:AQ32" si="5">AI19*4.333333333333</f>
        <v>369.19999999997162</v>
      </c>
      <c r="AJ32" s="185">
        <f t="shared" si="5"/>
        <v>64.133333333328409</v>
      </c>
      <c r="AK32" s="185">
        <f t="shared" si="5"/>
        <v>5.6333333333329003</v>
      </c>
      <c r="AL32" s="185">
        <f t="shared" si="5"/>
        <v>175.4999999999865</v>
      </c>
      <c r="AM32" s="185">
        <f t="shared" si="5"/>
        <v>20.3666666666651</v>
      </c>
      <c r="AN32" s="185">
        <f t="shared" si="5"/>
        <v>77.566666666660694</v>
      </c>
      <c r="AO32" s="185">
        <f t="shared" si="5"/>
        <v>166.39999999998719</v>
      </c>
      <c r="AP32" s="186">
        <f t="shared" si="5"/>
        <v>193.69999999998512</v>
      </c>
      <c r="AQ32" s="185">
        <f t="shared" si="5"/>
        <v>154.2666666666548</v>
      </c>
      <c r="AR32" s="188">
        <f t="shared" si="4"/>
        <v>1226.7666666665723</v>
      </c>
    </row>
    <row r="33" spans="1:44">
      <c r="F33" s="37"/>
      <c r="H33" s="173"/>
      <c r="K33" s="197">
        <f>SUM(K26:K32)</f>
        <v>0</v>
      </c>
      <c r="L33" s="93" t="s">
        <v>570</v>
      </c>
      <c r="M33" s="211" t="e">
        <f>SUM(Q143)</f>
        <v>#DIV/0!</v>
      </c>
      <c r="P33" s="139">
        <f>IF(S27=1,P26,0)</f>
        <v>3.5</v>
      </c>
      <c r="R33" s="153" t="s">
        <v>245</v>
      </c>
      <c r="S33" s="210" t="e">
        <f>IF(P33=0,0,IF(M33&lt;=0,"FAIL",IF(M33&gt;P33,"FAIL",IF(M33&lt;=P33,"PASS"))))</f>
        <v>#DIV/0!</v>
      </c>
      <c r="AD33" s="205" t="s">
        <v>88</v>
      </c>
      <c r="AE33" s="206" t="s">
        <v>87</v>
      </c>
      <c r="AF33" s="147"/>
      <c r="AG33" s="183" t="s">
        <v>83</v>
      </c>
      <c r="AH33" s="166" t="s">
        <v>82</v>
      </c>
      <c r="AI33" s="186">
        <f t="shared" ref="AI33:AQ33" si="6">AI20*4.333333333333</f>
        <v>274.29999999997887</v>
      </c>
      <c r="AJ33" s="185">
        <f t="shared" si="6"/>
        <v>67.166666666661499</v>
      </c>
      <c r="AK33" s="185">
        <f t="shared" si="6"/>
        <v>18.1999999999986</v>
      </c>
      <c r="AL33" s="185">
        <f t="shared" si="6"/>
        <v>247.43333333331429</v>
      </c>
      <c r="AM33" s="185">
        <f t="shared" si="6"/>
        <v>30.7666666666643</v>
      </c>
      <c r="AN33" s="185">
        <f t="shared" si="6"/>
        <v>109.19999999999159</v>
      </c>
      <c r="AO33" s="185">
        <f t="shared" si="6"/>
        <v>211.0333333333171</v>
      </c>
      <c r="AP33" s="186">
        <f t="shared" si="6"/>
        <v>175.93333333331981</v>
      </c>
      <c r="AQ33" s="185">
        <f t="shared" si="6"/>
        <v>101.8333333333255</v>
      </c>
      <c r="AR33" s="188">
        <f t="shared" si="4"/>
        <v>1235.8666666665715</v>
      </c>
    </row>
    <row r="34" spans="1:44">
      <c r="A34" s="43" t="s">
        <v>769</v>
      </c>
      <c r="C34" s="544" t="s">
        <v>138</v>
      </c>
      <c r="D34" s="240" t="str">
        <f>IF(C34="No","IMPORTANT - ONS data can be pre-populated by selecting 'Yes'.  Once overtyped the ONS data CANNOT be re-populated.",IF(C34="Yes","IMPORTANT - the expenditure cells in purple below are populated with ONS data but these can be overtyped.  Once overtyped the ONS data CANNOT be re-populated."))</f>
        <v>IMPORTANT - the expenditure cells in purple below are populated with ONS data but these can be overtyped.  Once overtyped the ONS data CANNOT be re-populated.</v>
      </c>
      <c r="K34" s="197"/>
      <c r="AD34" s="205" t="s">
        <v>92</v>
      </c>
      <c r="AE34" s="206" t="s">
        <v>90</v>
      </c>
      <c r="AF34" s="147"/>
      <c r="AG34" s="183" t="s">
        <v>86</v>
      </c>
      <c r="AH34" s="166" t="s">
        <v>87</v>
      </c>
      <c r="AI34" s="186">
        <f t="shared" ref="AI34:AQ34" si="7">AI21*4.333333333333</f>
        <v>372.66666666663798</v>
      </c>
      <c r="AJ34" s="185">
        <f t="shared" si="7"/>
        <v>92.299999999992906</v>
      </c>
      <c r="AK34" s="185">
        <f t="shared" si="7"/>
        <v>23.399999999998201</v>
      </c>
      <c r="AL34" s="185">
        <f t="shared" si="7"/>
        <v>302.03333333331011</v>
      </c>
      <c r="AM34" s="185">
        <f t="shared" si="7"/>
        <v>48.966666666662903</v>
      </c>
      <c r="AN34" s="185">
        <f t="shared" si="7"/>
        <v>115.69999999999109</v>
      </c>
      <c r="AO34" s="185">
        <f t="shared" si="7"/>
        <v>294.66666666664401</v>
      </c>
      <c r="AP34" s="186">
        <f t="shared" si="7"/>
        <v>409.06666666663523</v>
      </c>
      <c r="AQ34" s="185">
        <f t="shared" si="7"/>
        <v>231.39999999998219</v>
      </c>
      <c r="AR34" s="188">
        <f t="shared" si="4"/>
        <v>1890.1999999998545</v>
      </c>
    </row>
    <row r="35" spans="1:44">
      <c r="H35" s="1246" t="s">
        <v>996</v>
      </c>
      <c r="I35" s="1247"/>
      <c r="J35" s="1248"/>
      <c r="K35" s="157"/>
      <c r="L35" s="157"/>
      <c r="M35" s="157"/>
      <c r="N35" s="157"/>
      <c r="O35" s="157"/>
      <c r="P35" s="157"/>
      <c r="Q35" s="157"/>
      <c r="R35" s="157"/>
      <c r="S35" s="157"/>
      <c r="T35" s="157"/>
      <c r="U35" s="157"/>
      <c r="V35" s="43"/>
      <c r="AD35" s="205" t="s">
        <v>416</v>
      </c>
      <c r="AE35" s="206" t="s">
        <v>94</v>
      </c>
      <c r="AF35" s="147"/>
      <c r="AG35" s="183" t="s">
        <v>89</v>
      </c>
      <c r="AH35" s="166" t="s">
        <v>90</v>
      </c>
      <c r="AI35" s="186">
        <f t="shared" ref="AI35:AQ35" si="8">AI22*4.333333333333</f>
        <v>386.53333333330363</v>
      </c>
      <c r="AJ35" s="185">
        <f t="shared" si="8"/>
        <v>97.933333333325805</v>
      </c>
      <c r="AK35" s="185">
        <f t="shared" si="8"/>
        <v>25.999999999998</v>
      </c>
      <c r="AL35" s="185">
        <f t="shared" si="8"/>
        <v>363.99999999997198</v>
      </c>
      <c r="AM35" s="185">
        <f t="shared" si="8"/>
        <v>53.299999999995904</v>
      </c>
      <c r="AN35" s="185">
        <f t="shared" si="8"/>
        <v>191.53333333331861</v>
      </c>
      <c r="AO35" s="185">
        <f t="shared" si="8"/>
        <v>454.99999999996498</v>
      </c>
      <c r="AP35" s="186">
        <f t="shared" si="8"/>
        <v>517.83333333329347</v>
      </c>
      <c r="AQ35" s="185">
        <f t="shared" si="8"/>
        <v>204.53333333331761</v>
      </c>
      <c r="AR35" s="188">
        <f t="shared" si="4"/>
        <v>2296.6666666664896</v>
      </c>
    </row>
    <row r="36" spans="1:44">
      <c r="A36" s="43" t="s">
        <v>23</v>
      </c>
      <c r="H36" s="1243" t="str">
        <f>'ONS CALCULATIONS'!J197</f>
        <v>2 adults and 0 children</v>
      </c>
      <c r="I36" s="1244"/>
      <c r="J36" s="1245"/>
      <c r="K36" s="139"/>
      <c r="L36" s="146" t="str">
        <f>H36</f>
        <v>2 adults and 0 children</v>
      </c>
      <c r="M36" s="146"/>
      <c r="AD36" s="205" t="s">
        <v>141</v>
      </c>
      <c r="AE36" s="206" t="s">
        <v>143</v>
      </c>
      <c r="AF36" s="147"/>
      <c r="AG36" s="183" t="s">
        <v>93</v>
      </c>
      <c r="AH36" s="166" t="s">
        <v>94</v>
      </c>
      <c r="AI36" s="186">
        <f t="shared" ref="AI36:AQ36" si="9">AI23*4.333333333333</f>
        <v>435.9333333332998</v>
      </c>
      <c r="AJ36" s="185">
        <f t="shared" si="9"/>
        <v>103.1333333333254</v>
      </c>
      <c r="AK36" s="185">
        <f t="shared" si="9"/>
        <v>29.0333333333311</v>
      </c>
      <c r="AL36" s="185">
        <f t="shared" si="9"/>
        <v>387.83333333330347</v>
      </c>
      <c r="AM36" s="185">
        <f t="shared" si="9"/>
        <v>58.066666666662201</v>
      </c>
      <c r="AN36" s="185">
        <f t="shared" si="9"/>
        <v>152.53333333332162</v>
      </c>
      <c r="AO36" s="185">
        <f t="shared" si="9"/>
        <v>398.23333333330271</v>
      </c>
      <c r="AP36" s="186">
        <f t="shared" si="9"/>
        <v>408.63333333330189</v>
      </c>
      <c r="AQ36" s="185">
        <f t="shared" si="9"/>
        <v>222.29999999998287</v>
      </c>
      <c r="AR36" s="188">
        <f t="shared" si="4"/>
        <v>2195.6999999998311</v>
      </c>
    </row>
    <row r="37" spans="1:44">
      <c r="L37" s="213" t="s">
        <v>1011</v>
      </c>
      <c r="M37" s="213" t="s">
        <v>1012</v>
      </c>
      <c r="T37" s="213"/>
      <c r="AD37" s="214" t="s">
        <v>417</v>
      </c>
      <c r="AE37" s="215" t="s">
        <v>144</v>
      </c>
      <c r="AF37" s="147"/>
      <c r="AG37" s="153" t="s">
        <v>141</v>
      </c>
      <c r="AH37" s="166" t="s">
        <v>143</v>
      </c>
      <c r="AI37" s="186">
        <f t="shared" ref="AI37:AQ37" si="10">AI24*4.333333333333</f>
        <v>179.8333333333195</v>
      </c>
      <c r="AJ37" s="185">
        <f t="shared" si="10"/>
        <v>41.166666666663502</v>
      </c>
      <c r="AK37" s="185">
        <f t="shared" si="10"/>
        <v>15.166666666665499</v>
      </c>
      <c r="AL37" s="185">
        <f t="shared" si="10"/>
        <v>146.0333333333221</v>
      </c>
      <c r="AM37" s="185">
        <f t="shared" si="10"/>
        <v>25.999999999998</v>
      </c>
      <c r="AN37" s="185">
        <f t="shared" si="10"/>
        <v>31.633333333330899</v>
      </c>
      <c r="AO37" s="185">
        <f t="shared" si="10"/>
        <v>168.99999999998701</v>
      </c>
      <c r="AP37" s="186">
        <f t="shared" si="10"/>
        <v>100.96666666665891</v>
      </c>
      <c r="AQ37" s="185">
        <f t="shared" si="10"/>
        <v>97.499999999992497</v>
      </c>
      <c r="AR37" s="188">
        <f>SUM(AI37:AQ37)</f>
        <v>807.29999999993788</v>
      </c>
    </row>
    <row r="38" spans="1:44">
      <c r="A38" s="559" t="s">
        <v>788</v>
      </c>
      <c r="B38" s="559"/>
      <c r="C38" s="559"/>
      <c r="D38" s="212">
        <f>IF($C$34="Yes",J38,0)</f>
        <v>263.0333333333333</v>
      </c>
      <c r="F38" s="38" t="s">
        <v>7</v>
      </c>
      <c r="H38" s="765" t="s">
        <v>91</v>
      </c>
      <c r="I38" s="765"/>
      <c r="J38" s="766">
        <f>'ONS CALCULATIONS'!AC208</f>
        <v>263.0333333333333</v>
      </c>
      <c r="K38" s="197">
        <f>IF(F38=$K$2,D38*12,IF(F38=$K$3,D38*52,D38))</f>
        <v>3156.3999999999996</v>
      </c>
      <c r="L38" s="764">
        <f>'ONS CALCULATIONS'!AC208</f>
        <v>263.0333333333333</v>
      </c>
      <c r="M38" s="764">
        <f>SUM(L38*12)</f>
        <v>3156.3999999999996</v>
      </c>
      <c r="T38" s="148"/>
      <c r="AD38" s="147"/>
      <c r="AE38" s="147"/>
      <c r="AF38" s="147"/>
      <c r="AG38" s="153" t="s">
        <v>142</v>
      </c>
      <c r="AH38" s="166" t="s">
        <v>144</v>
      </c>
      <c r="AI38" s="186">
        <f t="shared" ref="AI38:AQ38" si="11">AI25*4.333333333333</f>
        <v>230.96666666664888</v>
      </c>
      <c r="AJ38" s="185">
        <f t="shared" si="11"/>
        <v>63.266666666661799</v>
      </c>
      <c r="AK38" s="185">
        <f t="shared" si="11"/>
        <v>51.133333333329404</v>
      </c>
      <c r="AL38" s="185">
        <f t="shared" si="11"/>
        <v>279.93333333331179</v>
      </c>
      <c r="AM38" s="185">
        <f t="shared" si="11"/>
        <v>60.666666666661996</v>
      </c>
      <c r="AN38" s="185">
        <f t="shared" si="11"/>
        <v>82.333333333327005</v>
      </c>
      <c r="AO38" s="185">
        <f t="shared" si="11"/>
        <v>401.26666666663579</v>
      </c>
      <c r="AP38" s="186">
        <f t="shared" si="11"/>
        <v>288.5999999999778</v>
      </c>
      <c r="AQ38" s="185">
        <f t="shared" si="11"/>
        <v>168.99999999998701</v>
      </c>
      <c r="AR38" s="188">
        <f>SUM(AI38:AQ38)</f>
        <v>1627.1666666665415</v>
      </c>
    </row>
    <row r="39" spans="1:44">
      <c r="A39" s="559" t="s">
        <v>656</v>
      </c>
      <c r="B39" s="559"/>
      <c r="C39" s="559"/>
      <c r="D39" s="212">
        <f>IF($C$34="Yes",J39,0)</f>
        <v>145.42016666666666</v>
      </c>
      <c r="F39" s="38" t="s">
        <v>7</v>
      </c>
      <c r="H39" s="765" t="s">
        <v>1004</v>
      </c>
      <c r="I39" s="765"/>
      <c r="J39" s="767">
        <f>'ONS CALCULATIONS'!AC212</f>
        <v>145.42016666666666</v>
      </c>
      <c r="K39" s="197">
        <f>IF(F39=$K$2,D39*12,IF(F39=$K$3,D39*52,D39))</f>
        <v>1745.0419999999999</v>
      </c>
      <c r="L39" s="764">
        <f>'ONS CALCULATIONS'!AC212</f>
        <v>145.42016666666666</v>
      </c>
      <c r="M39" s="764">
        <f t="shared" ref="M39:M59" si="12">SUM(L39*12)</f>
        <v>1745.0419999999999</v>
      </c>
      <c r="X39" s="1225" t="s">
        <v>1014</v>
      </c>
      <c r="Y39" s="1225"/>
      <c r="Z39" s="1225"/>
      <c r="AA39" s="1225"/>
      <c r="AC39" s="159" t="s">
        <v>26</v>
      </c>
      <c r="AD39" s="147"/>
      <c r="AE39" s="147"/>
      <c r="AF39" s="147"/>
    </row>
    <row r="40" spans="1:44">
      <c r="A40" s="559" t="s">
        <v>3</v>
      </c>
      <c r="B40" s="559"/>
      <c r="C40" s="559"/>
      <c r="D40" s="547">
        <v>0</v>
      </c>
      <c r="E40" s="37" t="s">
        <v>105</v>
      </c>
      <c r="F40" s="38" t="s">
        <v>7</v>
      </c>
      <c r="H40" s="73"/>
      <c r="J40" s="218">
        <f>IF(F40=$K$1,D40/12,D40)</f>
        <v>0</v>
      </c>
      <c r="K40" s="197">
        <f>IF(F40=$K$2,D40*10,IF(F40=$K$3,D40*44,D40))</f>
        <v>0</v>
      </c>
      <c r="L40" s="764"/>
      <c r="M40" s="764"/>
      <c r="N40" s="159" t="s">
        <v>726</v>
      </c>
      <c r="X40" s="40"/>
      <c r="Y40" s="40"/>
      <c r="Z40" s="141" t="s">
        <v>0</v>
      </c>
      <c r="AA40" s="141" t="s">
        <v>1</v>
      </c>
    </row>
    <row r="41" spans="1:44">
      <c r="A41" s="559" t="s">
        <v>1005</v>
      </c>
      <c r="B41" s="559"/>
      <c r="C41" s="559"/>
      <c r="D41" s="547">
        <v>0</v>
      </c>
      <c r="F41" s="38" t="s">
        <v>7</v>
      </c>
      <c r="H41" s="40"/>
      <c r="I41" s="40"/>
      <c r="J41" s="218">
        <f>IF(F41=$K$1,D41/12,D41)</f>
        <v>0</v>
      </c>
      <c r="K41" s="197">
        <f t="shared" ref="K41" si="13">IF(F41=$K$2,D41*12,IF(F41=$K$3,D41*52,D41))</f>
        <v>0</v>
      </c>
      <c r="L41" s="764"/>
      <c r="M41" s="764"/>
      <c r="N41" s="159" t="s">
        <v>435</v>
      </c>
      <c r="X41" s="73" t="s">
        <v>165</v>
      </c>
      <c r="Y41" s="217"/>
      <c r="Z41" s="546">
        <v>0</v>
      </c>
      <c r="AA41" s="546">
        <v>0</v>
      </c>
      <c r="AG41" s="157" t="s">
        <v>177</v>
      </c>
      <c r="AH41" s="159"/>
      <c r="AI41" s="159"/>
      <c r="AJ41" s="159"/>
      <c r="AK41" s="159"/>
      <c r="AL41" s="159"/>
      <c r="AM41" s="159"/>
    </row>
    <row r="42" spans="1:44">
      <c r="A42" s="559" t="s">
        <v>1006</v>
      </c>
      <c r="B42" s="559"/>
      <c r="C42" s="559"/>
      <c r="D42" s="212">
        <f>IF($C$34="Yes",J42,0)</f>
        <v>98.583333333333343</v>
      </c>
      <c r="F42" s="38" t="s">
        <v>7</v>
      </c>
      <c r="H42" s="765" t="s">
        <v>84</v>
      </c>
      <c r="I42" s="347"/>
      <c r="J42" s="766">
        <f>'ONS CALCULATIONS'!AC220</f>
        <v>98.583333333333343</v>
      </c>
      <c r="K42" s="197">
        <f>IF(F42=$K$2,D42*12,IF(F42=$K$3,D42*52,D42))</f>
        <v>1183</v>
      </c>
      <c r="L42" s="764">
        <f>'ONS CALCULATIONS'!AC220</f>
        <v>98.583333333333343</v>
      </c>
      <c r="M42" s="764">
        <f t="shared" si="12"/>
        <v>1183</v>
      </c>
      <c r="W42" s="40" t="s">
        <v>105</v>
      </c>
      <c r="X42" s="73" t="s">
        <v>166</v>
      </c>
      <c r="Y42" s="217"/>
      <c r="Z42" s="546">
        <v>0</v>
      </c>
      <c r="AA42" s="546">
        <v>0</v>
      </c>
      <c r="AG42" s="176" t="s">
        <v>13</v>
      </c>
      <c r="AH42" s="159"/>
      <c r="AI42" s="159"/>
      <c r="AJ42" s="176" t="s">
        <v>7</v>
      </c>
      <c r="AK42" s="159"/>
      <c r="AL42" s="159"/>
      <c r="AM42" s="159"/>
    </row>
    <row r="43" spans="1:44">
      <c r="A43" s="559" t="s">
        <v>1019</v>
      </c>
      <c r="B43" s="559"/>
      <c r="C43" s="559"/>
      <c r="D43" s="221">
        <f>T52</f>
        <v>124.35561666666665</v>
      </c>
      <c r="F43" s="38" t="s">
        <v>7</v>
      </c>
      <c r="H43" s="765" t="s">
        <v>161</v>
      </c>
      <c r="I43" s="545" t="s">
        <v>138</v>
      </c>
      <c r="J43" s="766">
        <f>IF(I43="Yes",'ONS CALCULATIONS'!AC218,0)</f>
        <v>124.35561666666665</v>
      </c>
      <c r="K43" s="197">
        <f>IF(F43=$K$2,D43*12,IF(F43=$K$3,D43*52,D43))</f>
        <v>1492.2673999999997</v>
      </c>
      <c r="L43" s="764">
        <f>'ONS CALCULATIONS'!AC218</f>
        <v>124.35561666666665</v>
      </c>
      <c r="M43" s="764">
        <f t="shared" si="12"/>
        <v>1492.2673999999997</v>
      </c>
      <c r="R43" s="754" t="s">
        <v>785</v>
      </c>
      <c r="S43" s="755"/>
      <c r="T43" s="756"/>
      <c r="W43" s="40"/>
      <c r="X43" s="73" t="s">
        <v>148</v>
      </c>
      <c r="Y43" s="217"/>
      <c r="Z43" s="546">
        <v>0</v>
      </c>
      <c r="AA43" s="546">
        <v>0</v>
      </c>
      <c r="AG43" s="159" t="s">
        <v>111</v>
      </c>
      <c r="AH43" s="219">
        <f>'Occupy borrower Affordability'!AI44</f>
        <v>9.5</v>
      </c>
      <c r="AI43" s="159"/>
      <c r="AJ43" s="159" t="s">
        <v>111</v>
      </c>
      <c r="AK43" s="185">
        <f>AH43*4.333333333333</f>
        <v>41.166666666663502</v>
      </c>
      <c r="AL43" s="159"/>
      <c r="AM43" s="159"/>
    </row>
    <row r="44" spans="1:44">
      <c r="A44" s="559" t="s">
        <v>1020</v>
      </c>
      <c r="B44" s="559"/>
      <c r="C44" s="559"/>
      <c r="D44" s="221">
        <f>T53</f>
        <v>60.295516666666664</v>
      </c>
      <c r="F44" s="38" t="s">
        <v>7</v>
      </c>
      <c r="H44" s="768" t="s">
        <v>165</v>
      </c>
      <c r="I44" s="347"/>
      <c r="J44" s="766">
        <f>IF(I43="Yes",'ONS CALCULATIONS'!AC224,0)</f>
        <v>60.295516666666664</v>
      </c>
      <c r="K44" s="197">
        <f>IF(F44=$K$2,D44*12,IF(F44=$K$3,D44*52,D44))</f>
        <v>723.5462</v>
      </c>
      <c r="L44" s="764">
        <f>'ONS CALCULATIONS'!AC224</f>
        <v>60.295516666666664</v>
      </c>
      <c r="M44" s="764">
        <f t="shared" si="12"/>
        <v>723.5462</v>
      </c>
      <c r="N44" s="139" t="s">
        <v>427</v>
      </c>
      <c r="R44" s="757" t="s">
        <v>161</v>
      </c>
      <c r="S44" s="746"/>
      <c r="T44" s="758">
        <f>SUM(Z42:AA45)</f>
        <v>0</v>
      </c>
      <c r="W44" s="40"/>
      <c r="X44" s="73" t="s">
        <v>149</v>
      </c>
      <c r="Y44" s="217"/>
      <c r="Z44" s="546">
        <v>0</v>
      </c>
      <c r="AA44" s="546">
        <v>0</v>
      </c>
      <c r="AG44" s="159" t="s">
        <v>113</v>
      </c>
      <c r="AH44" s="220">
        <f>'Occupy borrower Affordability'!AI45</f>
        <v>11.1</v>
      </c>
      <c r="AI44" s="159"/>
      <c r="AJ44" s="159" t="s">
        <v>113</v>
      </c>
      <c r="AK44" s="185">
        <f>AH44*4.333333333333</f>
        <v>48.099999999996299</v>
      </c>
      <c r="AL44" s="159"/>
      <c r="AM44" s="159"/>
    </row>
    <row r="45" spans="1:44">
      <c r="A45" s="559" t="s">
        <v>163</v>
      </c>
      <c r="B45" s="559"/>
      <c r="C45" s="559"/>
      <c r="D45" s="547">
        <v>0</v>
      </c>
      <c r="F45" s="38" t="s">
        <v>7</v>
      </c>
      <c r="H45" s="769"/>
      <c r="J45" s="770">
        <f>IF(F45=$K$1,D45/12,D45)</f>
        <v>0</v>
      </c>
      <c r="K45" s="197">
        <f>IF(F46=$K$2,D43*12,IF(F46=$K$3,D43*52,D43))</f>
        <v>1492.2673999999997</v>
      </c>
      <c r="L45" s="764"/>
      <c r="M45" s="764"/>
      <c r="N45" s="139" t="s">
        <v>428</v>
      </c>
      <c r="P45" s="139">
        <f>IF('Supporting borrower(s) Income'!D7="Yes",1,IF('Supporting borrower(s) Income'!D7="No",1,IF('Supporting borrower(s) Income'!D7="N/a",0)))</f>
        <v>1</v>
      </c>
      <c r="R45" s="752" t="s">
        <v>1003</v>
      </c>
      <c r="S45" s="318"/>
      <c r="T45" s="753">
        <f>SUM(Z41:AA41)</f>
        <v>0</v>
      </c>
      <c r="X45" s="73" t="s">
        <v>162</v>
      </c>
      <c r="Y45" s="217"/>
      <c r="Z45" s="546">
        <v>0</v>
      </c>
      <c r="AA45" s="546">
        <v>0</v>
      </c>
      <c r="AG45" s="159" t="s">
        <v>112</v>
      </c>
      <c r="AH45" s="220">
        <f>'Occupy borrower Affordability'!AI46</f>
        <v>10.4</v>
      </c>
      <c r="AI45" s="159"/>
      <c r="AJ45" s="159" t="s">
        <v>112</v>
      </c>
      <c r="AK45" s="185">
        <f>AH45*4.333333333333</f>
        <v>45.066666666663203</v>
      </c>
      <c r="AL45" s="159"/>
      <c r="AM45" s="159"/>
    </row>
    <row r="46" spans="1:44">
      <c r="A46" s="559" t="s">
        <v>24</v>
      </c>
      <c r="B46" s="559"/>
      <c r="C46" s="559"/>
      <c r="D46" s="212">
        <f>IF($C$34="Yes",J46,0)</f>
        <v>46.149999999999991</v>
      </c>
      <c r="F46" s="38" t="s">
        <v>7</v>
      </c>
      <c r="H46" s="765" t="s">
        <v>65</v>
      </c>
      <c r="I46" s="759"/>
      <c r="J46" s="766">
        <f>'ONS CALCULATIONS'!AC216</f>
        <v>46.149999999999991</v>
      </c>
      <c r="K46" s="197">
        <f>IF(F47=$K$2,D46*12,IF(F47=$K$3,D46*52,D46))</f>
        <v>553.79999999999995</v>
      </c>
      <c r="L46" s="764">
        <f>'ONS CALCULATIONS'!AC216</f>
        <v>46.149999999999991</v>
      </c>
      <c r="M46" s="764">
        <f t="shared" si="12"/>
        <v>553.79999999999995</v>
      </c>
      <c r="N46" s="139" t="s">
        <v>429</v>
      </c>
      <c r="P46" s="139">
        <f>IF('Supporting borrower(s) Income'!G7="Yes",1,IF('Supporting borrower(s) Income'!G7="No",1,IF('Supporting borrower(s) Income'!G7="N/a",0)))</f>
        <v>1</v>
      </c>
      <c r="X46" s="43" t="s">
        <v>2</v>
      </c>
      <c r="Y46" s="40"/>
      <c r="Z46" s="223">
        <f>SUM(Z41:Z45)</f>
        <v>0</v>
      </c>
      <c r="AA46" s="223">
        <f>SUM(AA41:AA45)</f>
        <v>0</v>
      </c>
      <c r="AG46" s="159" t="s">
        <v>114</v>
      </c>
      <c r="AH46" s="222">
        <f>'Occupy borrower Affordability'!AI47</f>
        <v>0.8</v>
      </c>
      <c r="AI46" s="159"/>
      <c r="AJ46" s="159" t="s">
        <v>114</v>
      </c>
      <c r="AK46" s="185">
        <f>AH46*4.333333333333</f>
        <v>3.4666666666664003</v>
      </c>
      <c r="AL46" s="159"/>
      <c r="AM46" s="159"/>
    </row>
    <row r="47" spans="1:44">
      <c r="A47" s="559" t="s">
        <v>1007</v>
      </c>
      <c r="B47" s="559"/>
      <c r="C47" s="559"/>
      <c r="D47" s="547">
        <v>0</v>
      </c>
      <c r="F47" s="38" t="s">
        <v>7</v>
      </c>
      <c r="H47" s="40"/>
      <c r="J47" s="770">
        <f>IF(F47=$K$1,D47/12,D47)</f>
        <v>0</v>
      </c>
      <c r="K47" s="197">
        <f>IF(F48=$K$2,D47*12,IF(F48=$K$3,D47*52,D47))</f>
        <v>0</v>
      </c>
      <c r="L47" s="764"/>
      <c r="M47" s="764"/>
      <c r="N47" s="139" t="s">
        <v>430</v>
      </c>
      <c r="P47" s="139">
        <f>SUM(P45:P46)</f>
        <v>2</v>
      </c>
      <c r="R47" s="754" t="s">
        <v>786</v>
      </c>
      <c r="S47" s="534"/>
      <c r="T47" s="535"/>
      <c r="AD47" s="224"/>
      <c r="AG47" s="157" t="s">
        <v>2</v>
      </c>
      <c r="AH47" s="225">
        <f>SUM(AH42:AH46)</f>
        <v>31.8</v>
      </c>
      <c r="AI47" s="159"/>
      <c r="AJ47" s="157" t="s">
        <v>2</v>
      </c>
      <c r="AK47" s="225">
        <f>SUM(AK42:AK46)</f>
        <v>137.79999999998941</v>
      </c>
      <c r="AL47" s="159"/>
      <c r="AM47" s="159"/>
    </row>
    <row r="48" spans="1:44">
      <c r="A48" s="559" t="s">
        <v>1021</v>
      </c>
      <c r="B48" s="559"/>
      <c r="C48" s="559"/>
      <c r="D48" s="547">
        <v>0</v>
      </c>
      <c r="F48" s="38" t="s">
        <v>7</v>
      </c>
      <c r="H48" s="66"/>
      <c r="I48" s="40"/>
      <c r="J48" s="770">
        <f>IF(F48=$K$1,D48/12,D48)</f>
        <v>0</v>
      </c>
      <c r="K48" s="197">
        <f>IF(F48=$K$2,D48*12,IF(F48=$K$3,D48*52,D48))</f>
        <v>0</v>
      </c>
      <c r="L48" s="764"/>
      <c r="M48" s="764"/>
      <c r="N48" s="139" t="s">
        <v>431</v>
      </c>
      <c r="P48" s="139">
        <f>D21</f>
        <v>2</v>
      </c>
      <c r="R48" s="757" t="s">
        <v>161</v>
      </c>
      <c r="S48" s="383"/>
      <c r="T48" s="758">
        <f>IF(I43="Yes",'ONS CALCULATIONS'!AC218,IF(I43="No",0))</f>
        <v>124.35561666666665</v>
      </c>
      <c r="W48" s="40"/>
      <c r="AD48" s="224"/>
      <c r="AG48" s="159" t="s">
        <v>26</v>
      </c>
      <c r="AH48" s="159"/>
      <c r="AI48" s="159"/>
      <c r="AJ48" s="159"/>
      <c r="AK48" s="159"/>
      <c r="AL48" s="159"/>
      <c r="AM48" s="159"/>
    </row>
    <row r="49" spans="1:39">
      <c r="A49" s="226" t="s">
        <v>106</v>
      </c>
      <c r="J49" s="559"/>
      <c r="K49" s="156"/>
      <c r="L49" s="764"/>
      <c r="M49" s="764"/>
      <c r="R49" s="752" t="s">
        <v>1003</v>
      </c>
      <c r="S49" s="317"/>
      <c r="T49" s="753">
        <f>IF(I43="Yes",'ONS CALCULATIONS'!AC224,IF(I43="No",0))</f>
        <v>60.295516666666664</v>
      </c>
      <c r="X49" s="37" t="s">
        <v>192</v>
      </c>
      <c r="AD49" s="224"/>
      <c r="AG49" s="157" t="s">
        <v>152</v>
      </c>
      <c r="AH49" s="159"/>
      <c r="AI49" s="159"/>
      <c r="AJ49" s="159"/>
      <c r="AK49" s="159"/>
      <c r="AL49" s="159"/>
      <c r="AM49" s="159"/>
    </row>
    <row r="50" spans="1:39">
      <c r="A50" s="40"/>
      <c r="D50" s="37"/>
      <c r="J50" s="559"/>
      <c r="K50" s="156"/>
      <c r="L50" s="764"/>
      <c r="M50" s="764"/>
      <c r="X50" s="1238" t="s">
        <v>150</v>
      </c>
      <c r="Y50" s="1239"/>
      <c r="Z50" s="1239"/>
      <c r="AA50" s="1240"/>
      <c r="AG50" s="176" t="s">
        <v>13</v>
      </c>
      <c r="AH50" s="159"/>
      <c r="AI50" s="159"/>
      <c r="AJ50" s="176" t="s">
        <v>7</v>
      </c>
      <c r="AK50" s="159"/>
      <c r="AL50" s="159"/>
      <c r="AM50" s="159"/>
    </row>
    <row r="51" spans="1:39" ht="17.399999999999999">
      <c r="A51" s="43" t="s">
        <v>25</v>
      </c>
      <c r="D51" s="102"/>
      <c r="E51" s="40" t="s">
        <v>26</v>
      </c>
      <c r="H51" s="227"/>
      <c r="I51" s="40"/>
      <c r="J51" s="559"/>
      <c r="K51" s="156"/>
      <c r="L51" s="764"/>
      <c r="M51" s="764"/>
      <c r="N51" s="139" t="s">
        <v>432</v>
      </c>
      <c r="R51" s="754" t="s">
        <v>787</v>
      </c>
      <c r="S51" s="534"/>
      <c r="T51" s="535"/>
      <c r="X51" s="1229"/>
      <c r="Y51" s="1230"/>
      <c r="Z51" s="1230"/>
      <c r="AA51" s="1231"/>
      <c r="AG51" s="157" t="s">
        <v>153</v>
      </c>
      <c r="AH51" s="159"/>
      <c r="AI51" s="159"/>
      <c r="AJ51" s="157" t="s">
        <v>153</v>
      </c>
      <c r="AK51" s="159"/>
      <c r="AL51" s="159"/>
      <c r="AM51" s="159"/>
    </row>
    <row r="52" spans="1:39">
      <c r="A52" s="43"/>
      <c r="B52" s="40" t="s">
        <v>26</v>
      </c>
      <c r="H52" s="772"/>
      <c r="I52" s="559" t="s">
        <v>26</v>
      </c>
      <c r="J52" s="559"/>
      <c r="K52" s="156"/>
      <c r="L52" s="764"/>
      <c r="M52" s="764"/>
      <c r="N52" s="139" t="s">
        <v>433</v>
      </c>
      <c r="R52" s="757" t="s">
        <v>161</v>
      </c>
      <c r="S52" s="383"/>
      <c r="T52" s="758">
        <f>IF(T44&gt;0,T44,T48)</f>
        <v>124.35561666666665</v>
      </c>
      <c r="X52" s="1232"/>
      <c r="Y52" s="1233"/>
      <c r="Z52" s="1233"/>
      <c r="AA52" s="1234"/>
      <c r="AG52" s="159" t="s">
        <v>165</v>
      </c>
      <c r="AH52" s="219">
        <f>'Occupy borrower Affordability'!AI53</f>
        <v>10.3</v>
      </c>
      <c r="AI52" s="228"/>
      <c r="AJ52" s="159" t="s">
        <v>165</v>
      </c>
      <c r="AK52" s="185">
        <f>AH52*4.333333333333</f>
        <v>44.633333333329901</v>
      </c>
      <c r="AL52" s="159"/>
      <c r="AM52" s="159"/>
    </row>
    <row r="53" spans="1:39">
      <c r="A53" s="559" t="s">
        <v>1015</v>
      </c>
      <c r="B53" s="559"/>
      <c r="C53" s="559"/>
      <c r="D53" s="212">
        <f>IF($C$34="Yes",J53,0)</f>
        <v>279.5</v>
      </c>
      <c r="F53" s="38" t="s">
        <v>7</v>
      </c>
      <c r="H53" s="765" t="s">
        <v>1016</v>
      </c>
      <c r="I53" s="765"/>
      <c r="J53" s="766">
        <f>'ONS CALCULATIONS'!AC222</f>
        <v>279.5</v>
      </c>
      <c r="K53" s="197">
        <f t="shared" ref="K53:K60" si="14">IF(F53=$K$2,D53*12,IF(F53=$K$3,D53*52,D53))</f>
        <v>3354</v>
      </c>
      <c r="L53" s="764">
        <f>'ONS CALCULATIONS'!AC222</f>
        <v>279.5</v>
      </c>
      <c r="M53" s="764">
        <f t="shared" si="12"/>
        <v>3354</v>
      </c>
      <c r="N53" s="139" t="s">
        <v>434</v>
      </c>
      <c r="O53" s="210" t="str">
        <f>'Supporting borrower(s) Income'!D7</f>
        <v>No</v>
      </c>
      <c r="P53" s="139">
        <f>IF(O53="No",0,IF(O53="Yes",1,IF(O53="N/a",0)))</f>
        <v>0</v>
      </c>
      <c r="R53" s="752" t="s">
        <v>1003</v>
      </c>
      <c r="S53" s="317"/>
      <c r="T53" s="753">
        <f>IF(T45&gt;0,T45,T49)</f>
        <v>60.295516666666664</v>
      </c>
      <c r="X53" s="1232"/>
      <c r="Y53" s="1233"/>
      <c r="Z53" s="1233"/>
      <c r="AA53" s="1234"/>
      <c r="AG53" s="159" t="s">
        <v>164</v>
      </c>
      <c r="AH53" s="220">
        <f>'Occupy borrower Affordability'!AI54</f>
        <v>2.6</v>
      </c>
      <c r="AI53" s="159"/>
      <c r="AJ53" s="159" t="s">
        <v>164</v>
      </c>
      <c r="AK53" s="185">
        <f>AH53*4.333333333333</f>
        <v>11.266666666665801</v>
      </c>
      <c r="AL53" s="159"/>
      <c r="AM53" s="159"/>
    </row>
    <row r="54" spans="1:39">
      <c r="A54" s="559" t="s">
        <v>1009</v>
      </c>
      <c r="B54" s="559"/>
      <c r="C54" s="559"/>
      <c r="D54" s="547">
        <v>0</v>
      </c>
      <c r="F54" s="38" t="s">
        <v>7</v>
      </c>
      <c r="H54" s="772"/>
      <c r="I54" s="559"/>
      <c r="J54" s="770">
        <f>IF(F54=$K$1,D54/12,IF(F54=$K$2,D54,D54*4.3333))</f>
        <v>0</v>
      </c>
      <c r="K54" s="197">
        <f t="shared" si="14"/>
        <v>0</v>
      </c>
      <c r="L54" s="764"/>
      <c r="M54" s="764"/>
      <c r="N54" s="139" t="s">
        <v>1</v>
      </c>
      <c r="O54" s="210" t="str">
        <f>'Supporting borrower(s) Income'!G7</f>
        <v>No</v>
      </c>
      <c r="P54" s="139">
        <f>IF(O54="No",0,IF(O54="Yes",1,IF(O54="N/a",0)))</f>
        <v>0</v>
      </c>
      <c r="W54" s="40"/>
      <c r="X54" s="1232"/>
      <c r="Y54" s="1233"/>
      <c r="Z54" s="1233"/>
      <c r="AA54" s="1234"/>
      <c r="AG54" s="159" t="s">
        <v>154</v>
      </c>
      <c r="AH54" s="220">
        <f>'Occupy borrower Affordability'!AI55</f>
        <v>20.399999999999999</v>
      </c>
      <c r="AI54" s="228"/>
      <c r="AJ54" s="159" t="s">
        <v>154</v>
      </c>
      <c r="AK54" s="185">
        <f>AH54*4.333333333333</f>
        <v>88.399999999993199</v>
      </c>
      <c r="AL54" s="159"/>
      <c r="AM54" s="159"/>
    </row>
    <row r="55" spans="1:39">
      <c r="A55" s="559" t="s">
        <v>1017</v>
      </c>
      <c r="B55" s="559"/>
      <c r="C55" s="559"/>
      <c r="D55" s="547">
        <v>0</v>
      </c>
      <c r="F55" s="38" t="s">
        <v>7</v>
      </c>
      <c r="H55" s="559"/>
      <c r="I55" s="559"/>
      <c r="J55" s="770">
        <f>IF(F55=$K$1,D55/12,IF(F55=$K$2,D55,D55*4.3333))</f>
        <v>0</v>
      </c>
      <c r="K55" s="197">
        <f t="shared" si="14"/>
        <v>0</v>
      </c>
      <c r="L55" s="764"/>
      <c r="M55" s="764"/>
      <c r="O55" s="210" t="s">
        <v>410</v>
      </c>
      <c r="P55" s="139">
        <f>IF(P53+P54&gt;=1,2,0)</f>
        <v>0</v>
      </c>
      <c r="X55" s="1232"/>
      <c r="Y55" s="1233"/>
      <c r="Z55" s="1233"/>
      <c r="AA55" s="1234"/>
      <c r="AE55" s="159" t="s">
        <v>138</v>
      </c>
      <c r="AG55" s="159" t="s">
        <v>221</v>
      </c>
      <c r="AH55" s="220">
        <f>'Occupy borrower Affordability'!AI56</f>
        <v>6.5</v>
      </c>
      <c r="AI55" s="228"/>
      <c r="AJ55" s="159" t="s">
        <v>221</v>
      </c>
      <c r="AK55" s="185">
        <f>AH55*4.333333333333</f>
        <v>28.166666666664501</v>
      </c>
      <c r="AL55" s="159"/>
      <c r="AM55" s="159"/>
    </row>
    <row r="56" spans="1:39">
      <c r="A56" s="559" t="s">
        <v>115</v>
      </c>
      <c r="B56" s="559"/>
      <c r="C56" s="559"/>
      <c r="D56" s="547">
        <v>0</v>
      </c>
      <c r="F56" s="38" t="s">
        <v>7</v>
      </c>
      <c r="H56" s="772"/>
      <c r="I56" s="559"/>
      <c r="J56" s="770">
        <f>IF(F56=$K$1,D56/12,IF(F56=$K$2,D56,D56*4.3333))</f>
        <v>0</v>
      </c>
      <c r="K56" s="197">
        <f t="shared" si="14"/>
        <v>0</v>
      </c>
      <c r="L56" s="764"/>
      <c r="M56" s="764"/>
      <c r="W56" s="40"/>
      <c r="X56" s="1232"/>
      <c r="Y56" s="1233"/>
      <c r="Z56" s="1233"/>
      <c r="AA56" s="1234"/>
      <c r="AE56" s="159" t="s">
        <v>139</v>
      </c>
      <c r="AG56" s="159" t="s">
        <v>155</v>
      </c>
      <c r="AH56" s="222">
        <f>'Occupy borrower Affordability'!AI57</f>
        <v>3</v>
      </c>
      <c r="AI56" s="228"/>
      <c r="AJ56" s="159" t="s">
        <v>155</v>
      </c>
      <c r="AK56" s="185">
        <f>AH56*4.333333333333</f>
        <v>12.999999999999</v>
      </c>
      <c r="AL56" s="159"/>
      <c r="AM56" s="159"/>
    </row>
    <row r="57" spans="1:39">
      <c r="A57" s="559" t="s">
        <v>1022</v>
      </c>
      <c r="B57" s="559"/>
      <c r="C57" s="559"/>
      <c r="D57" s="547">
        <v>0</v>
      </c>
      <c r="F57" s="38" t="s">
        <v>7</v>
      </c>
      <c r="H57" s="772"/>
      <c r="I57" s="559"/>
      <c r="J57" s="770">
        <f>IF(F57=$K$1,D57/12,IF(F57=$K$2,D57,D57*4.3333))</f>
        <v>0</v>
      </c>
      <c r="K57" s="197">
        <f t="shared" si="14"/>
        <v>0</v>
      </c>
      <c r="L57" s="764"/>
      <c r="M57" s="764"/>
      <c r="W57" s="40"/>
      <c r="X57" s="1232"/>
      <c r="Y57" s="1233"/>
      <c r="Z57" s="1233"/>
      <c r="AA57" s="1234"/>
      <c r="AG57" s="157" t="s">
        <v>2</v>
      </c>
      <c r="AH57" s="225">
        <f>SUM(AH52:AH56)</f>
        <v>42.8</v>
      </c>
      <c r="AI57" s="159"/>
      <c r="AJ57" s="157" t="s">
        <v>2</v>
      </c>
      <c r="AK57" s="225">
        <f>SUM(AK52:AK56)</f>
        <v>185.4666666666524</v>
      </c>
      <c r="AL57" s="159"/>
      <c r="AM57" s="159"/>
    </row>
    <row r="58" spans="1:39">
      <c r="A58" s="559" t="s">
        <v>985</v>
      </c>
      <c r="B58" s="559"/>
      <c r="C58" s="559"/>
      <c r="D58" s="212">
        <f>IF($C$34="Yes",J58,0)</f>
        <v>87.1</v>
      </c>
      <c r="F58" s="38" t="s">
        <v>7</v>
      </c>
      <c r="H58" s="765" t="s">
        <v>985</v>
      </c>
      <c r="I58" s="765"/>
      <c r="J58" s="766">
        <f>'ONS CALCULATIONS'!AC210</f>
        <v>87.1</v>
      </c>
      <c r="K58" s="197">
        <f t="shared" si="14"/>
        <v>1045.1999999999998</v>
      </c>
      <c r="L58" s="764">
        <f>'ONS CALCULATIONS'!AC210</f>
        <v>87.1</v>
      </c>
      <c r="M58" s="764">
        <f t="shared" si="12"/>
        <v>1045.1999999999998</v>
      </c>
      <c r="X58" s="1232"/>
      <c r="Y58" s="1233"/>
      <c r="Z58" s="1233"/>
      <c r="AA58" s="1234"/>
      <c r="AG58" s="159"/>
      <c r="AH58" s="159"/>
      <c r="AI58" s="159"/>
      <c r="AJ58" s="159"/>
      <c r="AK58" s="159"/>
      <c r="AL58" s="159"/>
      <c r="AM58" s="159"/>
    </row>
    <row r="59" spans="1:39">
      <c r="A59" s="559" t="s">
        <v>123</v>
      </c>
      <c r="B59" s="559"/>
      <c r="C59" s="559"/>
      <c r="D59" s="212">
        <f>IF($C$34="Yes",J59,0)</f>
        <v>162.71666666666664</v>
      </c>
      <c r="F59" s="38" t="s">
        <v>7</v>
      </c>
      <c r="H59" s="765" t="s">
        <v>123</v>
      </c>
      <c r="I59" s="765"/>
      <c r="J59" s="766">
        <f>'ONS CALCULATIONS'!AC214</f>
        <v>162.71666666666664</v>
      </c>
      <c r="K59" s="197">
        <f>IF(F59=$K$2,D59*12,IF(F59=$K$3,D59*52,D59))</f>
        <v>1952.5999999999997</v>
      </c>
      <c r="L59" s="764">
        <f>'ONS CALCULATIONS'!AC214</f>
        <v>162.71666666666664</v>
      </c>
      <c r="M59" s="764">
        <f t="shared" si="12"/>
        <v>1952.5999999999997</v>
      </c>
      <c r="X59" s="1232"/>
      <c r="Y59" s="1233"/>
      <c r="Z59" s="1233"/>
      <c r="AA59" s="1234"/>
      <c r="AG59" s="157" t="s">
        <v>156</v>
      </c>
      <c r="AH59" s="159"/>
      <c r="AI59" s="159"/>
      <c r="AJ59" s="157" t="s">
        <v>156</v>
      </c>
      <c r="AK59" s="159"/>
      <c r="AL59" s="159"/>
      <c r="AM59" s="159"/>
    </row>
    <row r="60" spans="1:39">
      <c r="A60" s="559" t="s">
        <v>1010</v>
      </c>
      <c r="B60" s="559"/>
      <c r="C60" s="559"/>
      <c r="D60" s="547">
        <v>0</v>
      </c>
      <c r="F60" s="38" t="s">
        <v>7</v>
      </c>
      <c r="J60" s="770">
        <f>IF(F60=$K$1,D60/12,IF(F60=$K$2,D60,D60*4.3333))</f>
        <v>0</v>
      </c>
      <c r="K60" s="197">
        <f t="shared" si="14"/>
        <v>0</v>
      </c>
      <c r="L60" s="213" t="s">
        <v>1011</v>
      </c>
      <c r="M60" s="213" t="s">
        <v>1012</v>
      </c>
      <c r="W60" s="40"/>
      <c r="X60" s="1232"/>
      <c r="Y60" s="1233"/>
      <c r="Z60" s="1233"/>
      <c r="AA60" s="1234"/>
      <c r="AG60" s="159" t="s">
        <v>157</v>
      </c>
      <c r="AH60" s="219">
        <f>'Occupy borrower Affordability'!AI61</f>
        <v>4.4000000000000004</v>
      </c>
      <c r="AI60" s="159"/>
      <c r="AJ60" s="159" t="s">
        <v>157</v>
      </c>
      <c r="AK60" s="185">
        <f>AH60*4.333333333333</f>
        <v>19.066666666665203</v>
      </c>
      <c r="AL60" s="159"/>
      <c r="AM60" s="159"/>
    </row>
    <row r="61" spans="1:39">
      <c r="A61" s="40"/>
      <c r="H61" s="173"/>
      <c r="J61" s="559"/>
      <c r="K61" s="156"/>
      <c r="L61" s="764">
        <f>SUM(L38:L59)</f>
        <v>1267.1546333333333</v>
      </c>
      <c r="M61" s="764">
        <f>SUM(M38:M59)</f>
        <v>15205.855599999997</v>
      </c>
      <c r="X61" s="1232"/>
      <c r="Y61" s="1233"/>
      <c r="Z61" s="1233"/>
      <c r="AA61" s="1234"/>
      <c r="AG61" s="159" t="s">
        <v>158</v>
      </c>
      <c r="AH61" s="220">
        <f>'Occupy borrower Affordability'!AI62</f>
        <v>1.4</v>
      </c>
      <c r="AI61" s="159"/>
      <c r="AJ61" s="159" t="s">
        <v>158</v>
      </c>
      <c r="AK61" s="185">
        <f>AH61*4.333333333333</f>
        <v>6.0666666666661992</v>
      </c>
      <c r="AL61" s="159" t="s">
        <v>26</v>
      </c>
      <c r="AM61" s="159"/>
    </row>
    <row r="62" spans="1:39">
      <c r="J62" s="559"/>
      <c r="X62" s="1232"/>
      <c r="Y62" s="1233"/>
      <c r="Z62" s="1233"/>
      <c r="AA62" s="1234"/>
      <c r="AG62" s="159" t="s">
        <v>159</v>
      </c>
      <c r="AH62" s="220">
        <f>'Occupy borrower Affordability'!AI63</f>
        <v>0.9</v>
      </c>
      <c r="AI62" s="159"/>
      <c r="AJ62" s="159" t="s">
        <v>159</v>
      </c>
      <c r="AK62" s="185">
        <f>AH62*4.333333333333</f>
        <v>3.8999999999997002</v>
      </c>
      <c r="AL62" s="159"/>
      <c r="AM62" s="159"/>
    </row>
    <row r="63" spans="1:39">
      <c r="A63" s="43" t="s">
        <v>101</v>
      </c>
      <c r="D63" s="229">
        <f>SUM(D38:D39)+SUM(D41:D48)+SUM(D40/12*10)+SUM(D53:D60)</f>
        <v>1267.1546333333331</v>
      </c>
      <c r="E63" s="37" t="s">
        <v>105</v>
      </c>
      <c r="F63" s="37"/>
      <c r="H63" s="43" t="s">
        <v>100</v>
      </c>
      <c r="J63" s="229">
        <f>SUM(J38:J39)+SUM(J41:J48)+(J40/12*10)+SUM(J53:J60)</f>
        <v>1267.1546333333331</v>
      </c>
      <c r="K63" s="197">
        <f>SUM(K38:K48,K53:K60)</f>
        <v>16698.122999999996</v>
      </c>
      <c r="L63" s="159" t="s">
        <v>614</v>
      </c>
      <c r="X63" s="1232"/>
      <c r="Y63" s="1233"/>
      <c r="Z63" s="1233"/>
      <c r="AA63" s="1234"/>
      <c r="AG63" s="159" t="s">
        <v>160</v>
      </c>
      <c r="AH63" s="222">
        <f>'Occupy borrower Affordability'!AI64</f>
        <v>12.3</v>
      </c>
      <c r="AI63" s="159"/>
      <c r="AJ63" s="159" t="s">
        <v>160</v>
      </c>
      <c r="AK63" s="185">
        <f>AH63*4.333333333333</f>
        <v>53.299999999995904</v>
      </c>
      <c r="AL63" s="159"/>
      <c r="AM63" s="159"/>
    </row>
    <row r="64" spans="1:39" ht="14.4">
      <c r="A64" s="40"/>
      <c r="D64" s="559"/>
      <c r="F64" s="67" t="s">
        <v>99</v>
      </c>
      <c r="H64" s="43"/>
      <c r="J64" s="771"/>
      <c r="K64" s="156"/>
      <c r="M64" s="157"/>
      <c r="N64" s="157"/>
      <c r="O64" s="157"/>
      <c r="P64" s="157"/>
      <c r="Q64" s="157"/>
      <c r="R64" s="157"/>
      <c r="S64" s="157"/>
      <c r="T64" s="157"/>
      <c r="U64" s="157"/>
      <c r="X64" s="1232"/>
      <c r="Y64" s="1233"/>
      <c r="Z64" s="1233"/>
      <c r="AA64" s="1234"/>
      <c r="AG64" s="157" t="s">
        <v>2</v>
      </c>
      <c r="AH64" s="225">
        <f>SUM(AH60:AH63)</f>
        <v>19</v>
      </c>
      <c r="AI64" s="159"/>
      <c r="AJ64" s="157" t="s">
        <v>2</v>
      </c>
      <c r="AK64" s="225">
        <f>SUM(AK60:AK63)</f>
        <v>82.333333333327005</v>
      </c>
      <c r="AL64" s="159"/>
      <c r="AM64" s="159"/>
    </row>
    <row r="65" spans="1:45">
      <c r="A65" s="43" t="s">
        <v>102</v>
      </c>
      <c r="D65" s="229">
        <f>D63*12</f>
        <v>15205.855599999997</v>
      </c>
      <c r="E65" s="37" t="s">
        <v>105</v>
      </c>
      <c r="F65" s="230">
        <f>IF(D65=0,0,(D65-J65)/J65)</f>
        <v>0</v>
      </c>
      <c r="H65" s="143" t="s">
        <v>98</v>
      </c>
      <c r="I65" s="43"/>
      <c r="J65" s="229">
        <f>J63*12</f>
        <v>15205.855599999997</v>
      </c>
      <c r="K65" s="231">
        <f>SUM(K26:K32)+SUM(K38:K48)+SUM(K53:K60)</f>
        <v>16698.122999999996</v>
      </c>
      <c r="L65" s="157" t="s">
        <v>511</v>
      </c>
      <c r="M65" s="157"/>
      <c r="N65" s="157"/>
      <c r="O65" s="157"/>
      <c r="P65" s="157"/>
      <c r="Q65" s="157"/>
      <c r="R65" s="157"/>
      <c r="S65" s="157"/>
      <c r="T65" s="157"/>
      <c r="U65" s="157"/>
      <c r="V65" s="229"/>
      <c r="X65" s="1235"/>
      <c r="Y65" s="1236"/>
      <c r="Z65" s="1236"/>
      <c r="AA65" s="1237"/>
    </row>
    <row r="66" spans="1:45">
      <c r="AI66" s="235"/>
    </row>
    <row r="67" spans="1:45">
      <c r="A67" s="226"/>
      <c r="K67" s="156"/>
      <c r="AI67" s="235"/>
    </row>
    <row r="68" spans="1:45">
      <c r="B68" s="43"/>
      <c r="C68" s="236"/>
      <c r="D68" s="43"/>
      <c r="E68" s="233"/>
      <c r="F68" s="233"/>
      <c r="G68" s="233"/>
      <c r="I68" s="237"/>
      <c r="J68" s="237"/>
      <c r="K68" s="238"/>
      <c r="M68" s="1212"/>
      <c r="N68" s="1212"/>
      <c r="O68" s="1212"/>
      <c r="Q68" s="1212"/>
      <c r="R68" s="1212"/>
      <c r="S68" s="1212"/>
      <c r="T68" s="159"/>
      <c r="U68" s="159"/>
    </row>
    <row r="69" spans="1:45">
      <c r="A69" s="40"/>
      <c r="K69" s="156"/>
      <c r="L69" s="43" t="s">
        <v>510</v>
      </c>
      <c r="M69" s="40"/>
      <c r="N69" s="40"/>
      <c r="O69" s="239"/>
      <c r="P69" s="37"/>
      <c r="Q69" s="41"/>
    </row>
    <row r="70" spans="1:45">
      <c r="H70" s="240"/>
      <c r="K70" s="194"/>
      <c r="L70" s="40"/>
      <c r="M70" s="40"/>
      <c r="N70" s="40"/>
      <c r="O70" s="239"/>
      <c r="P70" s="37"/>
      <c r="Q70" s="41"/>
    </row>
    <row r="71" spans="1:45">
      <c r="I71" s="30"/>
      <c r="J71" s="30"/>
      <c r="K71" s="241"/>
      <c r="L71" s="37"/>
      <c r="M71" s="37"/>
      <c r="N71" s="37"/>
      <c r="O71" s="141" t="s">
        <v>7</v>
      </c>
      <c r="P71" s="37"/>
      <c r="Q71" s="242" t="s">
        <v>5</v>
      </c>
      <c r="R71" s="224"/>
      <c r="S71" s="224"/>
      <c r="T71" s="224"/>
      <c r="U71" s="224"/>
      <c r="V71" s="30"/>
      <c r="AI71" s="186"/>
      <c r="AJ71" s="185"/>
      <c r="AK71" s="185"/>
      <c r="AL71" s="185"/>
      <c r="AM71" s="185"/>
      <c r="AN71" s="185"/>
      <c r="AO71" s="185"/>
      <c r="AP71" s="186"/>
      <c r="AQ71" s="185"/>
    </row>
    <row r="72" spans="1:45">
      <c r="H72" s="243"/>
      <c r="I72" s="244"/>
      <c r="J72" s="245"/>
      <c r="K72" s="241"/>
      <c r="L72" s="40" t="s">
        <v>186</v>
      </c>
      <c r="M72" s="40"/>
      <c r="N72" s="37"/>
      <c r="O72" s="223">
        <f>Q72/12</f>
        <v>0</v>
      </c>
      <c r="P72" s="37"/>
      <c r="Q72" s="246">
        <f>SUM(K10:K18)</f>
        <v>0</v>
      </c>
      <c r="R72" s="224"/>
      <c r="S72" s="224"/>
      <c r="T72" s="224"/>
      <c r="U72" s="224"/>
      <c r="V72" s="30"/>
      <c r="AI72" s="186"/>
      <c r="AJ72" s="185"/>
      <c r="AK72" s="185"/>
      <c r="AL72" s="185"/>
      <c r="AM72" s="185"/>
      <c r="AN72" s="185"/>
      <c r="AO72" s="185"/>
      <c r="AP72" s="186"/>
      <c r="AQ72" s="185"/>
    </row>
    <row r="73" spans="1:45">
      <c r="H73" s="247"/>
      <c r="I73" s="248"/>
      <c r="J73" s="248"/>
      <c r="K73" s="249"/>
      <c r="L73" s="40" t="s">
        <v>187</v>
      </c>
      <c r="M73" s="40"/>
      <c r="N73" s="37"/>
      <c r="O73" s="223">
        <f>Q73/12</f>
        <v>1391.5102499999996</v>
      </c>
      <c r="P73" s="37"/>
      <c r="Q73" s="246">
        <f>K65</f>
        <v>16698.122999999996</v>
      </c>
      <c r="R73" s="224"/>
      <c r="S73" s="224"/>
      <c r="T73" s="250"/>
      <c r="U73" s="250"/>
      <c r="V73" s="247"/>
      <c r="AI73" s="186"/>
      <c r="AJ73" s="185"/>
      <c r="AK73" s="185"/>
      <c r="AL73" s="185"/>
      <c r="AM73" s="185"/>
      <c r="AN73" s="185"/>
      <c r="AO73" s="185"/>
      <c r="AP73" s="186"/>
      <c r="AQ73" s="185"/>
    </row>
    <row r="74" spans="1:45">
      <c r="G74" s="66" t="s">
        <v>26</v>
      </c>
      <c r="K74" s="251"/>
      <c r="L74" s="40" t="s">
        <v>17</v>
      </c>
      <c r="M74" s="40"/>
      <c r="N74" s="37"/>
      <c r="O74" s="252">
        <f>Q74/12</f>
        <v>-1391.5102499999996</v>
      </c>
      <c r="P74" s="37"/>
      <c r="Q74" s="253">
        <f>Q72-Q73</f>
        <v>-16698.122999999996</v>
      </c>
      <c r="R74" s="1213" t="str">
        <f>IF(O74&lt;0,"Family member has no income left over after expenditure","Family member has income left over after expenditure")</f>
        <v>Family member has no income left over after expenditure</v>
      </c>
      <c r="S74" s="1214"/>
      <c r="T74" s="1214"/>
      <c r="U74" s="1215"/>
      <c r="V74" s="173"/>
      <c r="AI74" s="186"/>
      <c r="AJ74" s="185"/>
      <c r="AK74" s="185"/>
      <c r="AL74" s="185"/>
      <c r="AM74" s="185"/>
      <c r="AN74" s="185"/>
      <c r="AO74" s="185"/>
      <c r="AP74" s="186"/>
      <c r="AQ74" s="185"/>
    </row>
    <row r="75" spans="1:45">
      <c r="G75" s="172"/>
      <c r="K75" s="147"/>
      <c r="AI75" s="186"/>
      <c r="AJ75" s="185"/>
      <c r="AK75" s="185"/>
      <c r="AL75" s="185"/>
      <c r="AM75" s="185"/>
      <c r="AN75" s="185"/>
      <c r="AO75" s="185"/>
      <c r="AP75" s="186"/>
      <c r="AQ75" s="185"/>
    </row>
    <row r="76" spans="1:45">
      <c r="K76" s="251"/>
      <c r="R76" s="159"/>
      <c r="S76" s="159"/>
      <c r="T76" s="147"/>
      <c r="U76" s="147"/>
      <c r="V76" s="173"/>
      <c r="AA76" s="40" t="s">
        <v>26</v>
      </c>
      <c r="AI76" s="186"/>
      <c r="AJ76" s="185"/>
      <c r="AK76" s="185"/>
      <c r="AL76" s="185"/>
      <c r="AM76" s="185"/>
      <c r="AN76" s="185"/>
      <c r="AO76" s="185"/>
      <c r="AP76" s="186"/>
      <c r="AQ76" s="185"/>
      <c r="AS76" s="139" t="s">
        <v>26</v>
      </c>
    </row>
    <row r="77" spans="1:45">
      <c r="A77" s="40"/>
      <c r="B77" s="40"/>
      <c r="C77" s="40"/>
      <c r="D77" s="239"/>
      <c r="F77" s="37"/>
      <c r="G77" s="37"/>
      <c r="H77" s="37"/>
      <c r="K77" s="251"/>
      <c r="T77" s="147"/>
      <c r="U77" s="147"/>
      <c r="V77" s="43"/>
      <c r="W77" s="43"/>
      <c r="X77" s="43"/>
      <c r="Y77" s="43"/>
      <c r="AI77" s="186"/>
      <c r="AJ77" s="185"/>
      <c r="AK77" s="185"/>
      <c r="AL77" s="185"/>
      <c r="AM77" s="185"/>
      <c r="AN77" s="185"/>
      <c r="AO77" s="185"/>
      <c r="AP77" s="186"/>
      <c r="AQ77" s="185"/>
    </row>
    <row r="78" spans="1:45" ht="12.75" customHeight="1">
      <c r="K78" s="251"/>
      <c r="L78" s="43" t="s">
        <v>524</v>
      </c>
      <c r="M78" s="37"/>
      <c r="N78" s="37"/>
      <c r="O78" s="142"/>
      <c r="P78" s="37"/>
      <c r="Q78" s="41"/>
      <c r="R78" s="147"/>
      <c r="S78" s="147"/>
      <c r="T78" s="147"/>
      <c r="U78" s="147"/>
      <c r="V78" s="191"/>
      <c r="W78" s="191"/>
      <c r="X78" s="191"/>
      <c r="Y78" s="191"/>
      <c r="AI78" s="186"/>
      <c r="AJ78" s="185"/>
      <c r="AK78" s="185"/>
      <c r="AL78" s="185"/>
      <c r="AM78" s="185"/>
      <c r="AN78" s="185"/>
      <c r="AO78" s="185"/>
      <c r="AP78" s="186"/>
      <c r="AQ78" s="185"/>
    </row>
    <row r="79" spans="1:45">
      <c r="H79" s="37"/>
      <c r="K79" s="251"/>
      <c r="L79" s="37"/>
      <c r="M79" s="37"/>
      <c r="N79" s="37"/>
      <c r="O79" s="142"/>
      <c r="P79" s="37"/>
      <c r="Q79" s="41"/>
      <c r="R79" s="147"/>
      <c r="S79" s="147"/>
      <c r="T79" s="147"/>
      <c r="U79" s="147"/>
      <c r="V79" s="191"/>
      <c r="W79" s="191"/>
      <c r="X79" s="191"/>
      <c r="Y79" s="191"/>
      <c r="AI79" s="186"/>
      <c r="AJ79" s="185"/>
      <c r="AK79" s="185"/>
      <c r="AL79" s="185"/>
      <c r="AM79" s="185"/>
      <c r="AN79" s="185"/>
      <c r="AO79" s="185"/>
      <c r="AP79" s="186"/>
      <c r="AQ79" s="185"/>
    </row>
    <row r="80" spans="1:45">
      <c r="H80" s="37"/>
      <c r="K80" s="251"/>
      <c r="L80" s="37"/>
      <c r="M80" s="37"/>
      <c r="N80" s="37"/>
      <c r="O80" s="141" t="s">
        <v>7</v>
      </c>
      <c r="P80" s="37"/>
      <c r="Q80" s="242" t="s">
        <v>5</v>
      </c>
      <c r="R80" s="147"/>
      <c r="S80" s="147"/>
      <c r="T80" s="147"/>
      <c r="U80" s="147"/>
      <c r="V80" s="191"/>
      <c r="W80" s="191"/>
      <c r="X80" s="191"/>
      <c r="Y80" s="191"/>
    </row>
    <row r="81" spans="1:27">
      <c r="K81" s="254"/>
      <c r="L81" s="40" t="s">
        <v>188</v>
      </c>
      <c r="M81" s="40"/>
      <c r="N81" s="40"/>
      <c r="O81" s="246">
        <f>IF(O74&lt;0,0,Q74/12)</f>
        <v>0</v>
      </c>
      <c r="P81" s="37"/>
      <c r="Q81" s="255">
        <f>IF(Q74&lt;0,0,Q74)</f>
        <v>0</v>
      </c>
      <c r="R81" s="157"/>
      <c r="S81" s="157"/>
      <c r="T81" s="157"/>
      <c r="U81" s="157"/>
      <c r="V81" s="191"/>
      <c r="W81" s="191"/>
      <c r="X81" s="191"/>
      <c r="Y81" s="191"/>
    </row>
    <row r="82" spans="1:27">
      <c r="K82" s="254"/>
      <c r="L82" s="40" t="s">
        <v>174</v>
      </c>
      <c r="M82" s="40"/>
      <c r="N82" s="40"/>
      <c r="O82" s="246">
        <f>O81*10%</f>
        <v>0</v>
      </c>
      <c r="P82" s="37"/>
      <c r="Q82" s="255">
        <f>Q81*10%</f>
        <v>0</v>
      </c>
      <c r="R82" s="157"/>
      <c r="S82" s="157"/>
      <c r="T82" s="157"/>
      <c r="U82" s="157"/>
      <c r="V82" s="191"/>
      <c r="W82" s="191"/>
      <c r="X82" s="191"/>
      <c r="Y82" s="191"/>
    </row>
    <row r="83" spans="1:27">
      <c r="K83" s="254"/>
      <c r="L83" s="43" t="s">
        <v>175</v>
      </c>
      <c r="M83" s="40"/>
      <c r="N83" s="40"/>
      <c r="O83" s="253">
        <f>O81-O82</f>
        <v>0</v>
      </c>
      <c r="P83" s="37"/>
      <c r="Q83" s="256">
        <f>Q81-Q82</f>
        <v>0</v>
      </c>
      <c r="R83" s="157"/>
      <c r="S83" s="157"/>
      <c r="T83" s="157"/>
      <c r="U83" s="157"/>
      <c r="V83" s="191"/>
      <c r="W83" s="191"/>
      <c r="X83" s="191"/>
      <c r="Y83" s="191"/>
    </row>
    <row r="84" spans="1:27">
      <c r="K84" s="254"/>
      <c r="L84" s="157"/>
      <c r="M84" s="157"/>
      <c r="N84" s="157"/>
      <c r="O84" s="157"/>
      <c r="P84" s="157"/>
      <c r="Q84" s="157"/>
      <c r="R84" s="157"/>
      <c r="S84" s="157"/>
      <c r="T84" s="157"/>
      <c r="U84" s="157"/>
      <c r="V84" s="229"/>
      <c r="W84" s="191"/>
      <c r="X84" s="191"/>
      <c r="Y84" s="191"/>
    </row>
    <row r="85" spans="1:27" ht="12.75" hidden="1" customHeight="1">
      <c r="H85" s="37"/>
      <c r="Z85" s="257"/>
      <c r="AA85" s="257"/>
    </row>
    <row r="86" spans="1:27" hidden="1">
      <c r="A86" s="43" t="s">
        <v>210</v>
      </c>
      <c r="B86" s="40"/>
      <c r="C86" s="40"/>
      <c r="D86" s="258"/>
      <c r="E86" s="143" t="s">
        <v>223</v>
      </c>
      <c r="H86" s="37"/>
      <c r="Z86" s="257"/>
      <c r="AA86" s="257"/>
    </row>
    <row r="87" spans="1:27" hidden="1">
      <c r="B87" s="40"/>
      <c r="C87" s="40"/>
      <c r="D87" s="258"/>
      <c r="F87" s="37"/>
      <c r="G87" s="37"/>
      <c r="H87" s="152"/>
      <c r="I87" s="152"/>
      <c r="J87" s="152"/>
      <c r="W87" s="152"/>
      <c r="X87" s="152"/>
      <c r="Y87" s="152"/>
      <c r="Z87" s="259"/>
      <c r="AA87" s="259"/>
    </row>
    <row r="88" spans="1:27" ht="12.75" hidden="1" customHeight="1">
      <c r="A88" s="1216" t="s">
        <v>199</v>
      </c>
      <c r="B88" s="1216" t="s">
        <v>207</v>
      </c>
      <c r="C88" s="1216" t="s">
        <v>208</v>
      </c>
      <c r="D88" s="1217" t="s">
        <v>209</v>
      </c>
      <c r="E88" s="1216" t="s">
        <v>126</v>
      </c>
      <c r="F88" s="1216" t="s">
        <v>225</v>
      </c>
      <c r="G88" s="1216" t="s">
        <v>211</v>
      </c>
      <c r="H88" s="1216" t="s">
        <v>233</v>
      </c>
      <c r="I88" s="1219" t="s">
        <v>224</v>
      </c>
      <c r="J88" s="1220"/>
      <c r="K88" s="156"/>
      <c r="M88" s="139" t="s">
        <v>126</v>
      </c>
      <c r="Q88" s="139" t="s">
        <v>129</v>
      </c>
      <c r="V88" s="37" t="s">
        <v>501</v>
      </c>
      <c r="W88" s="43"/>
      <c r="X88" s="43"/>
      <c r="Y88" s="152"/>
      <c r="Z88" s="259"/>
      <c r="AA88" s="259"/>
    </row>
    <row r="89" spans="1:27" ht="12.75" hidden="1" customHeight="1">
      <c r="A89" s="1216"/>
      <c r="B89" s="1216"/>
      <c r="C89" s="1216"/>
      <c r="D89" s="1217"/>
      <c r="E89" s="1216"/>
      <c r="F89" s="1216"/>
      <c r="G89" s="1216"/>
      <c r="H89" s="1216"/>
      <c r="I89" s="1221"/>
      <c r="J89" s="1222"/>
      <c r="K89" s="156" t="s">
        <v>167</v>
      </c>
      <c r="L89" s="139" t="s">
        <v>15</v>
      </c>
      <c r="M89" s="139" t="s">
        <v>168</v>
      </c>
      <c r="N89" s="139" t="s">
        <v>169</v>
      </c>
      <c r="O89" s="139" t="s">
        <v>170</v>
      </c>
      <c r="Q89" s="139" t="s">
        <v>168</v>
      </c>
      <c r="R89" s="139" t="s">
        <v>169</v>
      </c>
      <c r="S89" s="139" t="s">
        <v>170</v>
      </c>
      <c r="U89" s="139" t="s">
        <v>130</v>
      </c>
      <c r="W89" s="259"/>
      <c r="X89" s="259"/>
      <c r="Y89" s="259"/>
      <c r="Z89" s="259"/>
      <c r="AA89" s="259"/>
    </row>
    <row r="90" spans="1:27" ht="12.75" hidden="1" customHeight="1">
      <c r="A90" s="141" t="s">
        <v>200</v>
      </c>
      <c r="B90" s="261">
        <v>100000</v>
      </c>
      <c r="C90" s="262">
        <v>26</v>
      </c>
      <c r="D90" s="262"/>
      <c r="E90" s="263">
        <v>0.02</v>
      </c>
      <c r="F90" s="264">
        <v>6.3399999999999998E-2</v>
      </c>
      <c r="G90" s="265">
        <f>IF(B90="",0,IF(B90=0,0,O90))</f>
        <v>414.16025662829315</v>
      </c>
      <c r="H90" s="265">
        <f>IF(B90="",0,IF(B90=0,0,S90))</f>
        <v>662.27871421467648</v>
      </c>
      <c r="I90" s="1221"/>
      <c r="J90" s="1222"/>
      <c r="K90" s="266">
        <f>B90</f>
        <v>100000</v>
      </c>
      <c r="L90" s="166">
        <f>C90+(D90/12)</f>
        <v>26</v>
      </c>
      <c r="M90" s="267">
        <f>E90</f>
        <v>0.02</v>
      </c>
      <c r="N90" s="139">
        <f>-PMT(M90,L90,1000)/12</f>
        <v>4.1416025662829314</v>
      </c>
      <c r="O90" s="139">
        <f>(K90/1000)*N90</f>
        <v>414.16025662829315</v>
      </c>
      <c r="Q90" s="139">
        <f>F90</f>
        <v>6.3399999999999998E-2</v>
      </c>
      <c r="R90" s="139">
        <f>-PMT(Q90,L90,1000)/12</f>
        <v>6.6227871421467652</v>
      </c>
      <c r="S90" s="139">
        <f>(K90/1000)*R90</f>
        <v>662.27871421467648</v>
      </c>
      <c r="U90" s="139" t="e">
        <f>IF(#REF!&lt;&gt;"Fixed","No",IF(#REF!&lt;&gt;5,"No","Yes"))</f>
        <v>#REF!</v>
      </c>
      <c r="W90" s="257"/>
      <c r="X90" s="152"/>
      <c r="Y90" s="152"/>
    </row>
    <row r="91" spans="1:27" hidden="1">
      <c r="A91" s="141" t="s">
        <v>193</v>
      </c>
      <c r="B91" s="261"/>
      <c r="C91" s="262"/>
      <c r="D91" s="262"/>
      <c r="E91" s="263"/>
      <c r="F91" s="264">
        <v>6.3399999999999998E-2</v>
      </c>
      <c r="G91" s="268">
        <f>IF(B91=0,0,(B91*E91)/12)</f>
        <v>0</v>
      </c>
      <c r="H91" s="265">
        <f>IF(B91=0,0,(B91*F91)/12)</f>
        <v>0</v>
      </c>
      <c r="I91" s="1221"/>
      <c r="J91" s="1222"/>
      <c r="K91" s="156">
        <f>B91</f>
        <v>0</v>
      </c>
      <c r="L91" s="147">
        <f>C91+(D91/12)</f>
        <v>0</v>
      </c>
      <c r="M91" s="147">
        <f>E91</f>
        <v>0</v>
      </c>
      <c r="N91" s="139" t="e">
        <f>-PMT(M91,L91,1000)/12</f>
        <v>#NUM!</v>
      </c>
      <c r="O91" s="139" t="e">
        <f>(K91/1000)*N91</f>
        <v>#NUM!</v>
      </c>
      <c r="Q91" s="139">
        <f>F91</f>
        <v>6.3399999999999998E-2</v>
      </c>
      <c r="R91" s="139" t="e">
        <f>-PMT(Q91,L91,1000)/12</f>
        <v>#NUM!</v>
      </c>
      <c r="S91" s="139" t="e">
        <f>(K91/1000)*R91</f>
        <v>#NUM!</v>
      </c>
      <c r="U91" s="139" t="e">
        <f>IF(#REF!&lt;&gt;"Fixed","No",IF(#REF!&lt;&gt;5,"No","Yes"))</f>
        <v>#REF!</v>
      </c>
      <c r="Y91" s="152"/>
    </row>
    <row r="92" spans="1:27" hidden="1">
      <c r="A92" s="269" t="s">
        <v>206</v>
      </c>
      <c r="B92" s="270">
        <f>SUM(B90:B91)</f>
        <v>100000</v>
      </c>
      <c r="C92" s="39"/>
      <c r="D92" s="39"/>
      <c r="E92" s="39"/>
      <c r="F92" s="141" t="s">
        <v>2</v>
      </c>
      <c r="G92" s="268">
        <f>SUM(G90:G91)</f>
        <v>414.16025662829315</v>
      </c>
      <c r="H92" s="265">
        <f>SUM(H90:H91)</f>
        <v>662.27871421467648</v>
      </c>
      <c r="I92" s="1223"/>
      <c r="J92" s="1224"/>
      <c r="K92" s="156"/>
      <c r="W92" s="1218"/>
      <c r="X92" s="1218"/>
    </row>
    <row r="93" spans="1:27" hidden="1">
      <c r="K93" s="156"/>
      <c r="Y93" s="271"/>
    </row>
    <row r="94" spans="1:27">
      <c r="K94" s="156"/>
      <c r="W94" s="41"/>
      <c r="X94" s="271"/>
      <c r="Y94" s="271"/>
    </row>
    <row r="95" spans="1:27" ht="12.75" customHeight="1">
      <c r="L95" s="47" t="s">
        <v>531</v>
      </c>
      <c r="M95" s="37"/>
      <c r="N95" s="37"/>
      <c r="O95" s="142"/>
      <c r="P95" s="37"/>
      <c r="Q95" s="41"/>
      <c r="R95" s="41"/>
      <c r="S95" s="41"/>
      <c r="T95" s="37"/>
    </row>
    <row r="96" spans="1:27">
      <c r="L96" s="37"/>
      <c r="M96" s="37"/>
      <c r="N96" s="37"/>
      <c r="O96" s="142"/>
      <c r="P96" s="37"/>
      <c r="Q96" s="41"/>
      <c r="R96" s="41"/>
      <c r="S96" s="41"/>
      <c r="T96" s="37"/>
    </row>
    <row r="97" spans="1:22">
      <c r="L97" s="40" t="s">
        <v>487</v>
      </c>
      <c r="M97" s="37"/>
      <c r="N97" s="37"/>
      <c r="O97" s="158">
        <f>'Occupy borrower Affordability'!O98</f>
        <v>0</v>
      </c>
      <c r="P97" s="216" t="str">
        <f>'Occupy borrower Affordability'!P98</f>
        <v>Interest-only</v>
      </c>
      <c r="Q97" s="41"/>
      <c r="R97" s="255">
        <f>'Occupy borrower Affordability'!R98</f>
        <v>0</v>
      </c>
      <c r="S97" s="173" t="str">
        <f>'Occupy borrower Affordability'!S98</f>
        <v>Cap. Repayment</v>
      </c>
      <c r="T97" s="37"/>
    </row>
    <row r="98" spans="1:22">
      <c r="L98" s="40" t="s">
        <v>488</v>
      </c>
      <c r="M98" s="37"/>
      <c r="N98" s="37"/>
      <c r="O98" s="272" t="e">
        <f>'Occupy borrower Affordability'!O99</f>
        <v>#DIV/0!</v>
      </c>
      <c r="P98" s="255" t="e">
        <f>'Occupy borrower Affordability'!P99</f>
        <v>#DIV/0!</v>
      </c>
      <c r="Q98" s="73" t="s">
        <v>105</v>
      </c>
      <c r="R98" s="273" t="e">
        <f>'Occupy borrower Affordability'!R99</f>
        <v>#DIV/0!</v>
      </c>
      <c r="S98" s="255" t="e">
        <f>'Occupy borrower Affordability'!S99</f>
        <v>#DIV/0!</v>
      </c>
      <c r="T98" s="73" t="s">
        <v>105</v>
      </c>
    </row>
    <row r="99" spans="1:22">
      <c r="L99" s="37"/>
      <c r="M99" s="37"/>
      <c r="N99" s="37"/>
      <c r="O99" s="142"/>
      <c r="P99" s="37"/>
      <c r="Q99" s="41"/>
      <c r="R99" s="41"/>
      <c r="S99" s="41"/>
      <c r="T99" s="37"/>
    </row>
    <row r="100" spans="1:22">
      <c r="L100" s="43" t="s">
        <v>539</v>
      </c>
      <c r="M100" s="37"/>
      <c r="N100" s="37"/>
      <c r="O100" s="142"/>
      <c r="P100" s="37"/>
      <c r="Q100" s="41"/>
      <c r="R100" s="41"/>
      <c r="S100" s="41"/>
      <c r="T100" s="37"/>
    </row>
    <row r="101" spans="1:22">
      <c r="L101" s="37"/>
      <c r="M101" s="37"/>
      <c r="N101" s="37"/>
      <c r="O101" s="142"/>
      <c r="P101" s="37"/>
      <c r="Q101" s="41"/>
      <c r="R101" s="41"/>
      <c r="S101" s="41"/>
      <c r="T101" s="37"/>
    </row>
    <row r="102" spans="1:22">
      <c r="K102" s="156"/>
      <c r="V102" s="43"/>
    </row>
    <row r="103" spans="1:22">
      <c r="K103" s="156"/>
    </row>
    <row r="104" spans="1:22">
      <c r="K104" s="156"/>
    </row>
    <row r="105" spans="1:22">
      <c r="K105" s="156"/>
      <c r="V105" s="40"/>
    </row>
    <row r="107" spans="1:22">
      <c r="A107" s="43"/>
      <c r="H107" s="37"/>
      <c r="K107" s="156"/>
    </row>
    <row r="108" spans="1:22">
      <c r="H108" s="37"/>
      <c r="K108" s="156"/>
    </row>
    <row r="109" spans="1:22">
      <c r="G109" s="37"/>
      <c r="H109" s="37"/>
      <c r="K109" s="156"/>
    </row>
    <row r="110" spans="1:22">
      <c r="D110" s="37"/>
      <c r="F110" s="37"/>
      <c r="G110" s="37"/>
      <c r="H110" s="37"/>
      <c r="K110" s="156"/>
    </row>
    <row r="111" spans="1:22">
      <c r="D111" s="37"/>
      <c r="F111" s="37"/>
      <c r="G111" s="37"/>
      <c r="H111" s="37"/>
    </row>
    <row r="112" spans="1:22">
      <c r="G112" s="37"/>
      <c r="H112" s="37"/>
    </row>
    <row r="113" spans="4:18">
      <c r="D113" s="41"/>
      <c r="E113" s="40"/>
      <c r="F113" s="37"/>
      <c r="G113" s="143"/>
      <c r="H113" s="37"/>
    </row>
    <row r="114" spans="4:18">
      <c r="D114" s="37"/>
      <c r="F114" s="37"/>
      <c r="G114" s="37"/>
      <c r="H114" s="37"/>
      <c r="L114" s="250"/>
      <c r="M114" s="250"/>
      <c r="N114" s="250"/>
      <c r="O114" s="159" t="s">
        <v>127</v>
      </c>
      <c r="P114" s="224"/>
      <c r="Q114" s="159">
        <v>2</v>
      </c>
    </row>
    <row r="115" spans="4:18">
      <c r="D115" s="37"/>
      <c r="F115" s="37"/>
      <c r="G115" s="37"/>
      <c r="H115" s="37"/>
      <c r="L115" s="147" t="s">
        <v>120</v>
      </c>
      <c r="M115" s="147" t="e">
        <f>IF(#REF!="Fixed",1,0)</f>
        <v>#REF!</v>
      </c>
      <c r="N115" s="147"/>
      <c r="O115" s="139" t="s">
        <v>119</v>
      </c>
      <c r="Q115" s="139">
        <v>3</v>
      </c>
    </row>
    <row r="116" spans="4:18">
      <c r="D116" s="37"/>
      <c r="F116" s="37"/>
      <c r="G116" s="37"/>
      <c r="H116" s="37"/>
      <c r="L116" s="147" t="s">
        <v>121</v>
      </c>
      <c r="M116" s="147" t="e">
        <f>IF(#REF!=5,1,0)</f>
        <v>#REF!</v>
      </c>
      <c r="N116" s="147"/>
      <c r="Q116" s="139">
        <v>5</v>
      </c>
    </row>
    <row r="117" spans="4:18">
      <c r="D117" s="37"/>
      <c r="F117" s="37"/>
      <c r="G117" s="37"/>
      <c r="H117" s="37"/>
      <c r="L117" s="147" t="s">
        <v>122</v>
      </c>
      <c r="M117" s="147" t="e">
        <f>SUM(M115:M116)</f>
        <v>#REF!</v>
      </c>
      <c r="N117" s="147"/>
      <c r="Q117" s="159" t="s">
        <v>132</v>
      </c>
    </row>
    <row r="118" spans="4:18">
      <c r="D118" s="37"/>
      <c r="F118" s="37"/>
      <c r="G118" s="37"/>
      <c r="H118" s="37"/>
      <c r="L118" s="147"/>
      <c r="M118" s="147"/>
      <c r="N118" s="147"/>
      <c r="Q118" s="139" t="s">
        <v>131</v>
      </c>
    </row>
    <row r="119" spans="4:18">
      <c r="D119" s="37"/>
      <c r="F119" s="37"/>
      <c r="G119" s="37"/>
      <c r="H119" s="37"/>
      <c r="L119" s="147"/>
      <c r="M119" s="147"/>
      <c r="N119" s="147"/>
      <c r="O119" s="147"/>
      <c r="P119" s="147"/>
      <c r="Q119" s="147"/>
    </row>
    <row r="120" spans="4:18">
      <c r="D120" s="37"/>
      <c r="F120" s="37"/>
      <c r="G120" s="37"/>
      <c r="H120" s="37"/>
      <c r="L120" s="274"/>
      <c r="M120" s="147"/>
      <c r="N120" s="147"/>
      <c r="O120" s="147"/>
      <c r="P120" s="147"/>
      <c r="Q120" s="147"/>
    </row>
    <row r="121" spans="4:18">
      <c r="D121" s="37"/>
      <c r="F121" s="37"/>
      <c r="G121" s="37"/>
      <c r="H121" s="37"/>
    </row>
    <row r="122" spans="4:18">
      <c r="D122" s="37"/>
      <c r="F122" s="37"/>
      <c r="G122" s="37"/>
      <c r="H122" s="37"/>
      <c r="M122" s="275" t="s">
        <v>478</v>
      </c>
      <c r="N122" s="276"/>
      <c r="O122" s="277">
        <f>IF($S$27=0,4.5,IF($S$27=1,3.5))</f>
        <v>3.5</v>
      </c>
    </row>
    <row r="123" spans="4:18">
      <c r="D123" s="37"/>
      <c r="F123" s="37"/>
      <c r="G123" s="37"/>
      <c r="H123" s="37"/>
      <c r="L123" s="159"/>
      <c r="N123" s="159"/>
    </row>
    <row r="124" spans="4:18">
      <c r="D124" s="37"/>
      <c r="F124" s="37"/>
      <c r="G124" s="37"/>
      <c r="H124" s="37"/>
      <c r="L124" s="159"/>
      <c r="M124" s="278" t="s">
        <v>219</v>
      </c>
      <c r="N124" s="279"/>
      <c r="O124" s="279"/>
      <c r="P124" s="279"/>
      <c r="Q124" s="279"/>
      <c r="R124" s="161"/>
    </row>
    <row r="125" spans="4:18">
      <c r="D125" s="37"/>
      <c r="F125" s="37"/>
      <c r="G125" s="37"/>
      <c r="H125" s="37"/>
      <c r="M125" s="174" t="s">
        <v>218</v>
      </c>
      <c r="N125" s="280"/>
      <c r="O125" s="281" t="e">
        <f>SUM('Occupy borrower Affordability'!R258/'Support borrower Affordability'!N139,0)</f>
        <v>#DIV/0!</v>
      </c>
      <c r="P125" s="280"/>
      <c r="Q125" s="280"/>
      <c r="R125" s="175"/>
    </row>
    <row r="126" spans="4:18">
      <c r="D126" s="37"/>
      <c r="F126" s="37"/>
      <c r="G126" s="37"/>
      <c r="H126" s="37"/>
    </row>
    <row r="127" spans="4:18">
      <c r="D127" s="37"/>
      <c r="F127" s="37"/>
      <c r="G127" s="37"/>
      <c r="H127" s="37"/>
    </row>
    <row r="128" spans="4:18">
      <c r="D128" s="37"/>
      <c r="F128" s="37"/>
      <c r="G128" s="37"/>
      <c r="H128" s="37"/>
    </row>
    <row r="129" spans="4:20">
      <c r="D129" s="37"/>
      <c r="F129" s="37"/>
      <c r="G129" s="37"/>
      <c r="H129" s="37"/>
      <c r="K129" s="157" t="s">
        <v>540</v>
      </c>
    </row>
    <row r="130" spans="4:20">
      <c r="D130" s="37"/>
      <c r="F130" s="37"/>
      <c r="G130" s="37"/>
      <c r="H130" s="37"/>
      <c r="K130" s="159" t="s">
        <v>541</v>
      </c>
      <c r="N130" s="282"/>
      <c r="P130" s="147"/>
      <c r="Q130" s="147"/>
      <c r="R130" s="147"/>
    </row>
    <row r="131" spans="4:20">
      <c r="D131" s="37"/>
      <c r="F131" s="37"/>
      <c r="G131" s="37"/>
      <c r="H131" s="37"/>
      <c r="N131" s="282"/>
      <c r="P131" s="147"/>
      <c r="Q131" s="283"/>
      <c r="R131" s="283"/>
      <c r="S131" s="283"/>
    </row>
    <row r="132" spans="4:20">
      <c r="D132" s="37"/>
      <c r="F132" s="37"/>
      <c r="G132" s="37"/>
      <c r="H132" s="37"/>
      <c r="K132" s="157" t="s">
        <v>214</v>
      </c>
      <c r="N132" s="282"/>
      <c r="P132" s="147"/>
      <c r="Q132" s="283"/>
      <c r="R132" s="283"/>
      <c r="S132" s="283"/>
    </row>
    <row r="133" spans="4:20">
      <c r="D133" s="37"/>
      <c r="F133" s="37"/>
      <c r="G133" s="37"/>
      <c r="H133" s="37"/>
      <c r="K133" s="159" t="s">
        <v>566</v>
      </c>
      <c r="N133" s="148">
        <f>SUM('Supporting borrower(s) Income'!O18+'Supporting borrower(s) Income'!Q18)+SUM('Supporting borrower(s) Income'!J46:K48)+SUM('Supporting borrower(s) Income'!J61:K65)+SUM('Supporting borrower(s) Income'!J67:K69)</f>
        <v>0</v>
      </c>
      <c r="O133" s="93" t="s">
        <v>567</v>
      </c>
      <c r="P133" s="284"/>
      <c r="Q133" s="285"/>
      <c r="R133" s="285"/>
      <c r="S133" s="283"/>
      <c r="T133" s="148"/>
    </row>
    <row r="134" spans="4:20">
      <c r="D134" s="37"/>
      <c r="F134" s="37"/>
      <c r="G134" s="37"/>
      <c r="H134" s="37"/>
      <c r="K134" s="32" t="s">
        <v>217</v>
      </c>
      <c r="N134" s="286">
        <f>SUM('Supporting borrower(s) Income'!J51:K52)</f>
        <v>0</v>
      </c>
      <c r="P134" s="147"/>
      <c r="Q134" s="147"/>
      <c r="R134" s="147"/>
    </row>
    <row r="135" spans="4:20">
      <c r="D135" s="37"/>
      <c r="F135" s="37"/>
      <c r="G135" s="37"/>
      <c r="H135" s="37"/>
      <c r="K135" s="32" t="s">
        <v>572</v>
      </c>
      <c r="N135" s="148">
        <f>SUM('Supporting borrower(s) Income'!J46:K48)</f>
        <v>0</v>
      </c>
      <c r="P135" s="159" t="s">
        <v>26</v>
      </c>
      <c r="Q135" s="147"/>
      <c r="R135" s="147"/>
    </row>
    <row r="136" spans="4:20">
      <c r="D136" s="37"/>
      <c r="F136" s="37"/>
      <c r="G136" s="37"/>
      <c r="H136" s="37"/>
      <c r="N136" s="287">
        <f>SUM(N133-N134+N135)</f>
        <v>0</v>
      </c>
    </row>
    <row r="137" spans="4:20">
      <c r="D137" s="37"/>
      <c r="F137" s="37"/>
      <c r="G137" s="37"/>
      <c r="H137" s="37"/>
    </row>
    <row r="138" spans="4:20">
      <c r="D138" s="37"/>
      <c r="F138" s="37"/>
      <c r="G138" s="37"/>
      <c r="H138" s="37"/>
      <c r="K138" s="159" t="s">
        <v>215</v>
      </c>
      <c r="N138" s="288">
        <f>SUM(K26:K32)</f>
        <v>0</v>
      </c>
      <c r="O138" s="93" t="s">
        <v>569</v>
      </c>
      <c r="P138" s="147"/>
      <c r="R138" s="147"/>
    </row>
    <row r="139" spans="4:20" ht="13.8" thickBot="1">
      <c r="D139" s="37"/>
      <c r="F139" s="37"/>
      <c r="G139" s="37"/>
      <c r="H139" s="37"/>
      <c r="K139" s="159"/>
      <c r="N139" s="289">
        <f>SUM(N136-N138)</f>
        <v>0</v>
      </c>
      <c r="O139" s="290" t="str">
        <f>IF(S27=1,"@ 3.5 x GROSS INCOME  able to guarantee","@ 4.5 x GROSS INCOME able to guarantee")</f>
        <v>@ 3.5 x GROSS INCOME  able to guarantee</v>
      </c>
      <c r="P139" s="147"/>
      <c r="Q139" s="147"/>
      <c r="R139" s="286">
        <f>IF(S9="No",N139*4.5,IF(S9="Yes",N139*4.5,))</f>
        <v>0</v>
      </c>
    </row>
    <row r="140" spans="4:20" ht="13.8" thickTop="1">
      <c r="D140" s="37"/>
      <c r="F140" s="37"/>
      <c r="G140" s="37"/>
      <c r="H140" s="37"/>
    </row>
    <row r="141" spans="4:20">
      <c r="D141" s="37"/>
      <c r="F141" s="37"/>
      <c r="G141" s="37"/>
      <c r="H141" s="37"/>
    </row>
    <row r="142" spans="4:20">
      <c r="D142" s="37"/>
      <c r="F142" s="37"/>
      <c r="G142" s="37"/>
      <c r="H142" s="37"/>
      <c r="K142" s="32" t="e">
        <f>IF(O125=0,"Interest-only loan shortfall","Capital repayment loan shortfall")</f>
        <v>#DIV/0!</v>
      </c>
      <c r="N142" s="282" t="e">
        <f>IF('Occupy borrower Affordability'!R258&lt;=0,'Occupy borrower Affordability'!T258,'Occupy borrower Affordability'!R258)</f>
        <v>#DIV/0!</v>
      </c>
      <c r="P142" s="147"/>
    </row>
    <row r="143" spans="4:20">
      <c r="D143" s="37"/>
      <c r="F143" s="37"/>
      <c r="G143" s="37"/>
      <c r="H143" s="37"/>
      <c r="K143" s="159" t="s">
        <v>220</v>
      </c>
      <c r="N143" s="291" t="e">
        <f>IF(N142&gt;0,$N$139,0)</f>
        <v>#DIV/0!</v>
      </c>
      <c r="O143" s="1212" t="s">
        <v>218</v>
      </c>
      <c r="P143" s="1212"/>
      <c r="Q143" s="292" t="e">
        <f>IF('Occupy borrower Affordability'!R258&gt;0,'Occupy borrower Affordability'!R258/'Support borrower Affordability'!N139,'Occupy borrower Affordability'!T258/'Support borrower Affordability'!N139)</f>
        <v>#DIV/0!</v>
      </c>
      <c r="R143" s="38" t="e">
        <f>IF(S27=1,S33,S32)</f>
        <v>#DIV/0!</v>
      </c>
      <c r="S143" s="139" t="s">
        <v>105</v>
      </c>
    </row>
    <row r="144" spans="4:20">
      <c r="D144" s="37"/>
      <c r="F144" s="37"/>
      <c r="G144" s="37"/>
      <c r="H144" s="37"/>
      <c r="K144" s="139"/>
      <c r="N144" s="282"/>
      <c r="P144" s="147"/>
      <c r="Q144" s="147"/>
      <c r="R144" s="147"/>
    </row>
    <row r="145" spans="4:17">
      <c r="D145" s="37"/>
      <c r="F145" s="37"/>
      <c r="G145" s="37"/>
      <c r="H145" s="37"/>
      <c r="K145" s="293"/>
      <c r="N145" s="282"/>
      <c r="O145" s="139" t="str">
        <f>IF(S27=0,"*Max. Income multiple 4.5 x as Family member(s) under age of 80",IF(S27=1,"*Max. Income Multiple 3.5 x as reliant on income of at least one Family member age 80 or over"))</f>
        <v>*Max. Income Multiple 3.5 x as reliant on income of at least one Family member age 80 or over</v>
      </c>
      <c r="P145" s="147"/>
      <c r="Q145" s="147"/>
    </row>
    <row r="146" spans="4:17">
      <c r="D146" s="37"/>
      <c r="F146" s="37"/>
      <c r="G146" s="37"/>
      <c r="H146" s="37"/>
      <c r="K146" s="156"/>
    </row>
    <row r="147" spans="4:17">
      <c r="D147" s="37"/>
      <c r="F147" s="37"/>
      <c r="G147" s="37"/>
      <c r="H147" s="37"/>
      <c r="K147" s="156"/>
    </row>
    <row r="148" spans="4:17">
      <c r="D148" s="37"/>
      <c r="F148" s="37"/>
      <c r="G148" s="37"/>
      <c r="H148" s="37"/>
      <c r="K148" s="156"/>
    </row>
    <row r="149" spans="4:17">
      <c r="D149" s="37"/>
      <c r="F149" s="37"/>
      <c r="G149" s="37"/>
      <c r="H149" s="37"/>
      <c r="K149" s="156"/>
    </row>
    <row r="150" spans="4:17">
      <c r="D150" s="37"/>
      <c r="F150" s="37"/>
      <c r="G150" s="37"/>
      <c r="H150" s="37"/>
      <c r="K150" s="156"/>
    </row>
    <row r="151" spans="4:17">
      <c r="D151" s="37"/>
      <c r="F151" s="37"/>
      <c r="G151" s="37"/>
      <c r="H151" s="37"/>
      <c r="K151" s="156"/>
    </row>
    <row r="152" spans="4:17">
      <c r="D152" s="37"/>
      <c r="F152" s="37"/>
      <c r="G152" s="37"/>
      <c r="H152" s="37"/>
      <c r="K152" s="156"/>
    </row>
    <row r="153" spans="4:17">
      <c r="D153" s="37"/>
      <c r="F153" s="37"/>
      <c r="G153" s="37"/>
      <c r="H153" s="37"/>
      <c r="K153" s="156"/>
    </row>
    <row r="154" spans="4:17">
      <c r="D154" s="37"/>
      <c r="F154" s="37"/>
      <c r="G154" s="37"/>
      <c r="H154" s="37"/>
      <c r="K154" s="156"/>
    </row>
    <row r="155" spans="4:17">
      <c r="D155" s="37"/>
      <c r="F155" s="37"/>
      <c r="G155" s="37"/>
      <c r="H155" s="37"/>
      <c r="K155" s="156"/>
    </row>
    <row r="156" spans="4:17">
      <c r="D156" s="37"/>
      <c r="F156" s="37"/>
      <c r="G156" s="37"/>
      <c r="H156" s="37"/>
      <c r="K156" s="156"/>
    </row>
    <row r="157" spans="4:17">
      <c r="D157" s="37"/>
      <c r="F157" s="37"/>
      <c r="G157" s="37"/>
      <c r="H157" s="37"/>
      <c r="K157" s="156"/>
    </row>
    <row r="158" spans="4:17">
      <c r="D158" s="37"/>
      <c r="F158" s="37"/>
      <c r="G158" s="37"/>
      <c r="H158" s="37"/>
      <c r="K158" s="156"/>
    </row>
    <row r="159" spans="4:17">
      <c r="D159" s="37"/>
      <c r="F159" s="37"/>
      <c r="G159" s="37"/>
      <c r="H159" s="37"/>
      <c r="K159" s="156"/>
    </row>
    <row r="160" spans="4:17">
      <c r="D160" s="37"/>
      <c r="F160" s="37"/>
      <c r="G160" s="37"/>
      <c r="H160" s="37"/>
      <c r="K160" s="156"/>
    </row>
    <row r="161" spans="4:11">
      <c r="D161" s="37"/>
      <c r="F161" s="37"/>
      <c r="G161" s="37"/>
      <c r="H161" s="37"/>
      <c r="K161" s="156"/>
    </row>
    <row r="162" spans="4:11">
      <c r="D162" s="37"/>
      <c r="F162" s="37"/>
      <c r="G162" s="37"/>
      <c r="H162" s="37"/>
      <c r="K162" s="156"/>
    </row>
    <row r="163" spans="4:11">
      <c r="D163" s="37"/>
      <c r="F163" s="37"/>
      <c r="G163" s="37"/>
      <c r="H163" s="37"/>
      <c r="K163" s="156"/>
    </row>
    <row r="164" spans="4:11">
      <c r="D164" s="37"/>
      <c r="F164" s="37"/>
      <c r="G164" s="37"/>
      <c r="H164" s="37"/>
      <c r="K164" s="156"/>
    </row>
    <row r="165" spans="4:11">
      <c r="D165" s="37"/>
      <c r="F165" s="37"/>
      <c r="G165" s="37"/>
      <c r="H165" s="37"/>
      <c r="K165" s="156"/>
    </row>
    <row r="166" spans="4:11">
      <c r="D166" s="37"/>
      <c r="F166" s="37"/>
      <c r="G166" s="37"/>
      <c r="H166" s="37"/>
      <c r="K166" s="156"/>
    </row>
    <row r="167" spans="4:11">
      <c r="D167" s="37"/>
      <c r="F167" s="37"/>
      <c r="G167" s="37"/>
      <c r="H167" s="37"/>
      <c r="K167" s="156"/>
    </row>
    <row r="168" spans="4:11">
      <c r="D168" s="37"/>
      <c r="F168" s="37"/>
      <c r="G168" s="37"/>
      <c r="H168" s="37"/>
      <c r="K168" s="156"/>
    </row>
    <row r="169" spans="4:11">
      <c r="D169" s="37"/>
      <c r="F169" s="37"/>
      <c r="G169" s="37"/>
      <c r="H169" s="37"/>
      <c r="K169" s="156"/>
    </row>
    <row r="170" spans="4:11">
      <c r="D170" s="37"/>
      <c r="F170" s="37"/>
      <c r="G170" s="37"/>
      <c r="H170" s="37"/>
      <c r="K170" s="156"/>
    </row>
    <row r="171" spans="4:11">
      <c r="D171" s="37"/>
      <c r="F171" s="37"/>
      <c r="G171" s="37"/>
      <c r="H171" s="37"/>
      <c r="K171" s="156"/>
    </row>
    <row r="172" spans="4:11">
      <c r="D172" s="37"/>
      <c r="F172" s="37"/>
      <c r="G172" s="37"/>
      <c r="H172" s="37"/>
      <c r="K172" s="156"/>
    </row>
    <row r="173" spans="4:11">
      <c r="D173" s="37"/>
      <c r="F173" s="37"/>
      <c r="G173" s="37"/>
      <c r="H173" s="37"/>
      <c r="K173" s="156"/>
    </row>
    <row r="174" spans="4:11">
      <c r="D174" s="37"/>
      <c r="F174" s="37"/>
      <c r="G174" s="37"/>
      <c r="H174" s="37"/>
      <c r="K174" s="156"/>
    </row>
    <row r="175" spans="4:11">
      <c r="D175" s="37"/>
      <c r="F175" s="37"/>
      <c r="G175" s="37"/>
      <c r="H175" s="37"/>
      <c r="K175" s="156"/>
    </row>
    <row r="176" spans="4:11">
      <c r="D176" s="37"/>
      <c r="F176" s="37"/>
      <c r="G176" s="37"/>
      <c r="H176" s="37"/>
      <c r="K176" s="156"/>
    </row>
    <row r="177" spans="4:11">
      <c r="D177" s="37"/>
      <c r="F177" s="37"/>
      <c r="G177" s="37"/>
      <c r="H177" s="37"/>
      <c r="K177" s="156"/>
    </row>
    <row r="178" spans="4:11">
      <c r="D178" s="37"/>
      <c r="F178" s="37"/>
      <c r="G178" s="37"/>
      <c r="H178" s="37"/>
      <c r="K178" s="156"/>
    </row>
    <row r="179" spans="4:11">
      <c r="D179" s="37"/>
      <c r="F179" s="37"/>
      <c r="G179" s="37"/>
      <c r="H179" s="37"/>
      <c r="K179" s="156"/>
    </row>
    <row r="180" spans="4:11">
      <c r="D180" s="37"/>
      <c r="F180" s="37"/>
      <c r="G180" s="37"/>
      <c r="H180" s="37"/>
      <c r="K180" s="156"/>
    </row>
    <row r="181" spans="4:11">
      <c r="D181" s="37"/>
      <c r="F181" s="37"/>
      <c r="G181" s="37"/>
      <c r="H181" s="37"/>
      <c r="K181" s="156"/>
    </row>
    <row r="182" spans="4:11">
      <c r="D182" s="37"/>
      <c r="F182" s="37"/>
      <c r="G182" s="37"/>
      <c r="H182" s="37"/>
      <c r="K182" s="156"/>
    </row>
    <row r="183" spans="4:11">
      <c r="D183" s="37"/>
      <c r="F183" s="37"/>
      <c r="G183" s="37"/>
      <c r="H183" s="37"/>
      <c r="K183" s="156"/>
    </row>
    <row r="184" spans="4:11">
      <c r="D184" s="37"/>
      <c r="F184" s="37"/>
      <c r="G184" s="37"/>
      <c r="H184" s="37"/>
      <c r="K184" s="156"/>
    </row>
    <row r="185" spans="4:11">
      <c r="D185" s="37"/>
      <c r="F185" s="37"/>
      <c r="G185" s="37"/>
      <c r="H185" s="37"/>
      <c r="K185" s="156"/>
    </row>
    <row r="186" spans="4:11">
      <c r="D186" s="37"/>
      <c r="F186" s="37"/>
      <c r="G186" s="37"/>
      <c r="H186" s="37"/>
      <c r="K186" s="156"/>
    </row>
    <row r="187" spans="4:11">
      <c r="D187" s="37"/>
      <c r="F187" s="37"/>
      <c r="G187" s="37"/>
      <c r="H187" s="37"/>
      <c r="K187" s="156"/>
    </row>
    <row r="188" spans="4:11">
      <c r="D188" s="37"/>
      <c r="F188" s="37"/>
      <c r="G188" s="37"/>
      <c r="H188" s="37"/>
      <c r="K188" s="156"/>
    </row>
    <row r="189" spans="4:11">
      <c r="D189" s="37"/>
      <c r="F189" s="37"/>
      <c r="G189" s="37"/>
      <c r="H189" s="37"/>
      <c r="K189" s="156"/>
    </row>
    <row r="190" spans="4:11">
      <c r="D190" s="37"/>
      <c r="F190" s="37"/>
      <c r="G190" s="37"/>
      <c r="H190" s="37"/>
      <c r="K190" s="156"/>
    </row>
    <row r="191" spans="4:11">
      <c r="D191" s="37"/>
      <c r="F191" s="37"/>
      <c r="G191" s="37"/>
      <c r="H191" s="37"/>
      <c r="K191" s="156"/>
    </row>
    <row r="192" spans="4:11">
      <c r="D192" s="37"/>
      <c r="F192" s="37"/>
      <c r="G192" s="37"/>
      <c r="H192" s="37"/>
      <c r="K192" s="156"/>
    </row>
    <row r="193" spans="4:11">
      <c r="D193" s="37"/>
      <c r="F193" s="37"/>
      <c r="G193" s="37"/>
      <c r="H193" s="37"/>
      <c r="K193" s="156"/>
    </row>
    <row r="194" spans="4:11">
      <c r="D194" s="37"/>
      <c r="F194" s="37"/>
      <c r="G194" s="37"/>
      <c r="H194" s="37"/>
      <c r="K194" s="156"/>
    </row>
    <row r="195" spans="4:11">
      <c r="D195" s="37"/>
      <c r="F195" s="37"/>
      <c r="G195" s="37"/>
      <c r="H195" s="37"/>
      <c r="K195" s="156"/>
    </row>
    <row r="196" spans="4:11">
      <c r="D196" s="37"/>
      <c r="F196" s="37"/>
      <c r="G196" s="37"/>
      <c r="H196" s="37"/>
      <c r="K196" s="156"/>
    </row>
    <row r="197" spans="4:11">
      <c r="D197" s="37"/>
      <c r="F197" s="37"/>
      <c r="G197" s="37"/>
      <c r="H197" s="37"/>
      <c r="K197" s="156"/>
    </row>
    <row r="198" spans="4:11">
      <c r="D198" s="37"/>
      <c r="F198" s="37"/>
      <c r="G198" s="37"/>
      <c r="H198" s="37"/>
      <c r="K198" s="156"/>
    </row>
    <row r="199" spans="4:11">
      <c r="D199" s="37"/>
      <c r="F199" s="37"/>
      <c r="G199" s="37"/>
      <c r="H199" s="37"/>
      <c r="K199" s="156"/>
    </row>
    <row r="200" spans="4:11">
      <c r="D200" s="37"/>
      <c r="F200" s="37"/>
      <c r="G200" s="37"/>
      <c r="H200" s="37"/>
      <c r="K200" s="156"/>
    </row>
    <row r="201" spans="4:11">
      <c r="D201" s="37"/>
      <c r="F201" s="37"/>
      <c r="G201" s="37"/>
      <c r="H201" s="37"/>
      <c r="K201" s="156"/>
    </row>
    <row r="202" spans="4:11">
      <c r="D202" s="37"/>
      <c r="F202" s="37"/>
      <c r="G202" s="37"/>
      <c r="H202" s="37"/>
      <c r="K202" s="156"/>
    </row>
    <row r="203" spans="4:11">
      <c r="D203" s="37"/>
      <c r="F203" s="37"/>
      <c r="G203" s="37"/>
      <c r="H203" s="37"/>
      <c r="K203" s="156"/>
    </row>
    <row r="204" spans="4:11">
      <c r="D204" s="37"/>
      <c r="F204" s="37"/>
      <c r="G204" s="37"/>
      <c r="H204" s="37"/>
      <c r="K204" s="156"/>
    </row>
    <row r="205" spans="4:11">
      <c r="D205" s="37"/>
      <c r="F205" s="37"/>
      <c r="G205" s="37"/>
      <c r="H205" s="37"/>
      <c r="K205" s="156"/>
    </row>
    <row r="206" spans="4:11">
      <c r="D206" s="37"/>
      <c r="F206" s="37"/>
      <c r="G206" s="37"/>
      <c r="H206" s="37"/>
      <c r="K206" s="156"/>
    </row>
    <row r="207" spans="4:11">
      <c r="D207" s="37"/>
      <c r="F207" s="37"/>
      <c r="G207" s="37"/>
      <c r="H207" s="37"/>
      <c r="K207" s="156"/>
    </row>
    <row r="208" spans="4:11">
      <c r="D208" s="37"/>
      <c r="F208" s="37"/>
      <c r="G208" s="37"/>
      <c r="H208" s="37"/>
      <c r="K208" s="156"/>
    </row>
    <row r="209" spans="4:11">
      <c r="D209" s="37"/>
      <c r="F209" s="37"/>
      <c r="G209" s="37"/>
      <c r="H209" s="37"/>
      <c r="K209" s="156"/>
    </row>
    <row r="210" spans="4:11">
      <c r="D210" s="37"/>
      <c r="F210" s="37"/>
      <c r="G210" s="37"/>
      <c r="H210" s="37"/>
      <c r="K210" s="156"/>
    </row>
    <row r="211" spans="4:11">
      <c r="D211" s="37"/>
      <c r="F211" s="37"/>
      <c r="G211" s="37"/>
      <c r="H211" s="37"/>
      <c r="K211" s="156"/>
    </row>
    <row r="212" spans="4:11">
      <c r="D212" s="37"/>
      <c r="F212" s="37"/>
      <c r="G212" s="37"/>
      <c r="H212" s="37"/>
      <c r="K212" s="156"/>
    </row>
    <row r="213" spans="4:11">
      <c r="D213" s="37"/>
      <c r="F213" s="37"/>
      <c r="G213" s="37"/>
      <c r="H213" s="37"/>
      <c r="K213" s="156"/>
    </row>
    <row r="214" spans="4:11">
      <c r="D214" s="37"/>
      <c r="F214" s="37"/>
      <c r="G214" s="37"/>
      <c r="H214" s="37"/>
      <c r="K214" s="156"/>
    </row>
    <row r="215" spans="4:11">
      <c r="D215" s="37"/>
      <c r="F215" s="37"/>
      <c r="G215" s="37"/>
      <c r="H215" s="37"/>
      <c r="K215" s="156"/>
    </row>
    <row r="216" spans="4:11">
      <c r="D216" s="37"/>
      <c r="F216" s="37"/>
      <c r="G216" s="37"/>
      <c r="H216" s="37"/>
      <c r="K216" s="156"/>
    </row>
    <row r="217" spans="4:11">
      <c r="D217" s="37"/>
      <c r="F217" s="37"/>
      <c r="G217" s="37"/>
      <c r="H217" s="37"/>
      <c r="K217" s="156"/>
    </row>
    <row r="218" spans="4:11">
      <c r="D218" s="37"/>
      <c r="F218" s="37"/>
      <c r="G218" s="37"/>
      <c r="H218" s="37"/>
      <c r="K218" s="156"/>
    </row>
    <row r="219" spans="4:11">
      <c r="D219" s="37"/>
      <c r="F219" s="37"/>
      <c r="G219" s="37"/>
      <c r="H219" s="37"/>
      <c r="K219" s="156"/>
    </row>
    <row r="220" spans="4:11">
      <c r="D220" s="37"/>
      <c r="F220" s="37"/>
      <c r="G220" s="37"/>
      <c r="H220" s="37"/>
      <c r="K220" s="156"/>
    </row>
    <row r="221" spans="4:11">
      <c r="D221" s="37"/>
      <c r="F221" s="37"/>
      <c r="G221" s="37"/>
      <c r="H221" s="37"/>
      <c r="K221" s="156"/>
    </row>
    <row r="222" spans="4:11">
      <c r="D222" s="37"/>
      <c r="F222" s="37"/>
      <c r="G222" s="37"/>
      <c r="H222" s="37"/>
      <c r="K222" s="156"/>
    </row>
    <row r="223" spans="4:11">
      <c r="D223" s="37"/>
      <c r="F223" s="37"/>
      <c r="G223" s="37"/>
      <c r="H223" s="37"/>
      <c r="K223" s="156"/>
    </row>
    <row r="224" spans="4:11">
      <c r="D224" s="37"/>
      <c r="F224" s="37"/>
      <c r="G224" s="37"/>
      <c r="H224" s="37"/>
      <c r="K224" s="156"/>
    </row>
    <row r="225" spans="4:11">
      <c r="D225" s="37"/>
      <c r="F225" s="37"/>
      <c r="G225" s="37"/>
      <c r="H225" s="37"/>
      <c r="K225" s="156"/>
    </row>
    <row r="226" spans="4:11">
      <c r="D226" s="37"/>
      <c r="F226" s="37"/>
      <c r="G226" s="37"/>
      <c r="H226" s="37"/>
      <c r="K226" s="156"/>
    </row>
    <row r="227" spans="4:11">
      <c r="D227" s="37"/>
      <c r="F227" s="37"/>
      <c r="G227" s="37"/>
      <c r="H227" s="37"/>
      <c r="K227" s="156"/>
    </row>
    <row r="228" spans="4:11">
      <c r="D228" s="37"/>
      <c r="F228" s="37"/>
      <c r="G228" s="37"/>
      <c r="H228" s="37"/>
      <c r="K228" s="156"/>
    </row>
    <row r="229" spans="4:11">
      <c r="D229" s="37"/>
      <c r="F229" s="37"/>
      <c r="G229" s="37"/>
      <c r="H229" s="37"/>
      <c r="K229" s="156"/>
    </row>
    <row r="230" spans="4:11">
      <c r="D230" s="37"/>
      <c r="F230" s="37"/>
      <c r="G230" s="37"/>
      <c r="H230" s="37"/>
      <c r="K230" s="156"/>
    </row>
    <row r="231" spans="4:11">
      <c r="D231" s="37"/>
      <c r="F231" s="37"/>
      <c r="G231" s="37"/>
      <c r="H231" s="37"/>
      <c r="K231" s="156"/>
    </row>
    <row r="232" spans="4:11">
      <c r="D232" s="37"/>
      <c r="F232" s="37"/>
      <c r="G232" s="37"/>
      <c r="H232" s="37"/>
      <c r="K232" s="156"/>
    </row>
    <row r="233" spans="4:11">
      <c r="D233" s="37"/>
      <c r="F233" s="37"/>
      <c r="G233" s="37"/>
      <c r="H233" s="37"/>
      <c r="K233" s="156"/>
    </row>
    <row r="234" spans="4:11">
      <c r="D234" s="37"/>
      <c r="F234" s="37"/>
      <c r="G234" s="37"/>
      <c r="H234" s="37"/>
      <c r="K234" s="156"/>
    </row>
    <row r="235" spans="4:11">
      <c r="D235" s="37"/>
      <c r="F235" s="37"/>
      <c r="G235" s="37"/>
      <c r="H235" s="37"/>
      <c r="K235" s="156"/>
    </row>
    <row r="236" spans="4:11">
      <c r="D236" s="37"/>
      <c r="F236" s="37"/>
      <c r="G236" s="37"/>
      <c r="H236" s="37"/>
      <c r="K236" s="156"/>
    </row>
    <row r="237" spans="4:11">
      <c r="D237" s="37"/>
      <c r="F237" s="37"/>
      <c r="G237" s="37"/>
      <c r="H237" s="37"/>
      <c r="K237" s="156"/>
    </row>
    <row r="238" spans="4:11">
      <c r="D238" s="37"/>
      <c r="F238" s="37"/>
      <c r="G238" s="37"/>
      <c r="H238" s="37"/>
      <c r="K238" s="156"/>
    </row>
    <row r="239" spans="4:11">
      <c r="D239" s="37"/>
      <c r="F239" s="37"/>
      <c r="G239" s="37"/>
      <c r="H239" s="37"/>
      <c r="K239" s="156"/>
    </row>
    <row r="240" spans="4:11">
      <c r="D240" s="37"/>
      <c r="F240" s="37"/>
      <c r="G240" s="37"/>
      <c r="H240" s="37"/>
      <c r="K240" s="156"/>
    </row>
    <row r="241" spans="4:11">
      <c r="D241" s="37"/>
      <c r="F241" s="37"/>
      <c r="G241" s="37"/>
      <c r="H241" s="37"/>
      <c r="K241" s="156"/>
    </row>
    <row r="242" spans="4:11">
      <c r="D242" s="37"/>
      <c r="F242" s="37"/>
      <c r="G242" s="37"/>
      <c r="H242" s="37"/>
      <c r="K242" s="156"/>
    </row>
    <row r="243" spans="4:11">
      <c r="D243" s="37"/>
      <c r="F243" s="37"/>
      <c r="G243" s="37"/>
      <c r="H243" s="37"/>
      <c r="K243" s="156"/>
    </row>
    <row r="244" spans="4:11">
      <c r="D244" s="37"/>
      <c r="F244" s="37"/>
      <c r="G244" s="37"/>
      <c r="H244" s="37"/>
      <c r="K244" s="156"/>
    </row>
    <row r="245" spans="4:11">
      <c r="D245" s="37"/>
      <c r="F245" s="37"/>
      <c r="G245" s="37"/>
      <c r="H245" s="37"/>
      <c r="K245" s="156"/>
    </row>
    <row r="246" spans="4:11">
      <c r="D246" s="37"/>
      <c r="F246" s="37"/>
      <c r="G246" s="37"/>
      <c r="H246" s="37"/>
      <c r="K246" s="156"/>
    </row>
    <row r="247" spans="4:11">
      <c r="D247" s="37"/>
      <c r="F247" s="37"/>
      <c r="G247" s="37"/>
      <c r="H247" s="37"/>
      <c r="K247" s="156"/>
    </row>
    <row r="248" spans="4:11">
      <c r="D248" s="37"/>
      <c r="F248" s="37"/>
      <c r="G248" s="37"/>
      <c r="H248" s="37"/>
      <c r="K248" s="156"/>
    </row>
    <row r="249" spans="4:11">
      <c r="D249" s="37"/>
      <c r="F249" s="37"/>
      <c r="G249" s="37"/>
      <c r="H249" s="37"/>
      <c r="K249" s="156"/>
    </row>
    <row r="250" spans="4:11">
      <c r="D250" s="37"/>
      <c r="F250" s="37"/>
      <c r="G250" s="37"/>
      <c r="H250" s="37"/>
      <c r="K250" s="156"/>
    </row>
    <row r="251" spans="4:11">
      <c r="D251" s="37"/>
      <c r="F251" s="37"/>
      <c r="G251" s="37"/>
      <c r="H251" s="37"/>
      <c r="K251" s="156"/>
    </row>
    <row r="252" spans="4:11">
      <c r="D252" s="37"/>
      <c r="F252" s="37"/>
      <c r="G252" s="37"/>
      <c r="H252" s="37"/>
      <c r="K252" s="156"/>
    </row>
    <row r="253" spans="4:11">
      <c r="D253" s="37"/>
      <c r="F253" s="37"/>
      <c r="G253" s="37"/>
      <c r="H253" s="37"/>
      <c r="K253" s="156"/>
    </row>
    <row r="254" spans="4:11">
      <c r="D254" s="37"/>
      <c r="F254" s="37"/>
      <c r="G254" s="37"/>
      <c r="H254" s="37"/>
      <c r="K254" s="156"/>
    </row>
    <row r="255" spans="4:11">
      <c r="D255" s="37"/>
      <c r="F255" s="37"/>
      <c r="G255" s="37"/>
      <c r="H255" s="37"/>
      <c r="K255" s="156"/>
    </row>
    <row r="256" spans="4:11">
      <c r="D256" s="37"/>
      <c r="F256" s="37"/>
      <c r="G256" s="37"/>
      <c r="H256" s="37"/>
      <c r="K256" s="156"/>
    </row>
    <row r="257" spans="4:11">
      <c r="D257" s="37"/>
      <c r="F257" s="37"/>
      <c r="G257" s="37"/>
      <c r="H257" s="37"/>
      <c r="K257" s="156"/>
    </row>
    <row r="258" spans="4:11">
      <c r="D258" s="37"/>
      <c r="F258" s="37"/>
      <c r="G258" s="37"/>
      <c r="H258" s="37"/>
      <c r="K258" s="156"/>
    </row>
    <row r="259" spans="4:11">
      <c r="D259" s="37"/>
      <c r="F259" s="37"/>
      <c r="G259" s="37"/>
      <c r="H259" s="37"/>
      <c r="K259" s="156"/>
    </row>
    <row r="260" spans="4:11">
      <c r="D260" s="37"/>
      <c r="F260" s="37"/>
      <c r="G260" s="37"/>
      <c r="H260" s="37"/>
      <c r="K260" s="156"/>
    </row>
    <row r="261" spans="4:11">
      <c r="D261" s="37"/>
      <c r="F261" s="37"/>
      <c r="G261" s="37"/>
      <c r="H261" s="37"/>
      <c r="K261" s="156"/>
    </row>
    <row r="262" spans="4:11">
      <c r="D262" s="37"/>
      <c r="F262" s="37"/>
      <c r="G262" s="37"/>
      <c r="H262" s="37"/>
      <c r="K262" s="156"/>
    </row>
    <row r="263" spans="4:11">
      <c r="D263" s="37"/>
      <c r="F263" s="37"/>
      <c r="G263" s="37"/>
      <c r="H263" s="37"/>
      <c r="K263" s="156"/>
    </row>
    <row r="264" spans="4:11">
      <c r="D264" s="37"/>
      <c r="F264" s="37"/>
      <c r="G264" s="37"/>
      <c r="H264" s="37"/>
      <c r="K264" s="156"/>
    </row>
    <row r="265" spans="4:11">
      <c r="D265" s="37"/>
      <c r="F265" s="37"/>
      <c r="G265" s="37"/>
      <c r="H265" s="37"/>
      <c r="K265" s="156"/>
    </row>
    <row r="266" spans="4:11">
      <c r="D266" s="37"/>
      <c r="F266" s="37"/>
      <c r="G266" s="37"/>
      <c r="H266" s="37"/>
      <c r="K266" s="156"/>
    </row>
    <row r="267" spans="4:11">
      <c r="D267" s="37"/>
      <c r="F267" s="37"/>
      <c r="G267" s="37"/>
      <c r="H267" s="37"/>
      <c r="K267" s="156"/>
    </row>
    <row r="268" spans="4:11">
      <c r="K268" s="156"/>
    </row>
    <row r="269" spans="4:11">
      <c r="K269" s="156"/>
    </row>
    <row r="270" spans="4:11">
      <c r="K270" s="156"/>
    </row>
    <row r="271" spans="4:11">
      <c r="K271" s="156"/>
    </row>
    <row r="272" spans="4:11">
      <c r="K272" s="156"/>
    </row>
    <row r="273" spans="11:11">
      <c r="K273" s="156"/>
    </row>
    <row r="274" spans="11:11">
      <c r="K274" s="156"/>
    </row>
    <row r="275" spans="11:11">
      <c r="K275" s="156"/>
    </row>
    <row r="276" spans="11:11">
      <c r="K276" s="156"/>
    </row>
    <row r="277" spans="11:11">
      <c r="K277" s="156"/>
    </row>
    <row r="278" spans="11:11">
      <c r="K278" s="156"/>
    </row>
    <row r="279" spans="11:11">
      <c r="K279" s="156"/>
    </row>
    <row r="280" spans="11:11">
      <c r="K280" s="156"/>
    </row>
    <row r="281" spans="11:11">
      <c r="K281" s="156"/>
    </row>
    <row r="282" spans="11:11">
      <c r="K282" s="156"/>
    </row>
    <row r="283" spans="11:11">
      <c r="K283" s="156"/>
    </row>
    <row r="284" spans="11:11">
      <c r="K284" s="156"/>
    </row>
    <row r="285" spans="11:11">
      <c r="K285" s="156"/>
    </row>
    <row r="286" spans="11:11">
      <c r="K286" s="156"/>
    </row>
  </sheetData>
  <sheetProtection algorithmName="SHA-512" hashValue="ImeFeibBgKRnUXPzTDOliPfrlalCQwZYZON+m8NN/aN32Kc1rYqbb+Zdmp7PsiwN8YZkU3RBKY9KwuKpL5tKpQ==" saltValue="G6yYJ/bUCsD7aUNm+Pi3zQ==" spinCount="100000" sheet="1" objects="1" scenarios="1"/>
  <mergeCells count="32">
    <mergeCell ref="AG9:AR9"/>
    <mergeCell ref="H28:I28"/>
    <mergeCell ref="T7:U7"/>
    <mergeCell ref="A5:C5"/>
    <mergeCell ref="G5:H5"/>
    <mergeCell ref="D5:F5"/>
    <mergeCell ref="AD28:AE28"/>
    <mergeCell ref="F21:I22"/>
    <mergeCell ref="H10:I10"/>
    <mergeCell ref="X39:AA39"/>
    <mergeCell ref="D6:F6"/>
    <mergeCell ref="A6:C6"/>
    <mergeCell ref="X51:AA65"/>
    <mergeCell ref="X50:AA50"/>
    <mergeCell ref="O23:S23"/>
    <mergeCell ref="G6:H6"/>
    <mergeCell ref="H36:J36"/>
    <mergeCell ref="H35:J35"/>
    <mergeCell ref="O143:P143"/>
    <mergeCell ref="F88:F89"/>
    <mergeCell ref="G88:G89"/>
    <mergeCell ref="H88:H89"/>
    <mergeCell ref="W92:X92"/>
    <mergeCell ref="I88:J92"/>
    <mergeCell ref="M68:O68"/>
    <mergeCell ref="Q68:S68"/>
    <mergeCell ref="R74:U74"/>
    <mergeCell ref="A88:A89"/>
    <mergeCell ref="B88:B89"/>
    <mergeCell ref="C88:C89"/>
    <mergeCell ref="D88:D89"/>
    <mergeCell ref="E88:E89"/>
  </mergeCells>
  <phoneticPr fontId="3" type="noConversion"/>
  <conditionalFormatting sqref="D38">
    <cfRule type="cellIs" dxfId="103" priority="3" operator="equal">
      <formula>$J$38</formula>
    </cfRule>
  </conditionalFormatting>
  <conditionalFormatting sqref="D39">
    <cfRule type="cellIs" dxfId="102" priority="4" operator="equal">
      <formula>$J$39</formula>
    </cfRule>
  </conditionalFormatting>
  <conditionalFormatting sqref="D42">
    <cfRule type="cellIs" dxfId="101" priority="150" stopIfTrue="1" operator="equal">
      <formula>$J$42</formula>
    </cfRule>
  </conditionalFormatting>
  <conditionalFormatting sqref="D43">
    <cfRule type="cellIs" dxfId="100" priority="1" operator="equal">
      <formula>$J$43</formula>
    </cfRule>
  </conditionalFormatting>
  <conditionalFormatting sqref="D44">
    <cfRule type="cellIs" dxfId="99" priority="2" operator="equal">
      <formula>$J$44</formula>
    </cfRule>
  </conditionalFormatting>
  <conditionalFormatting sqref="D46">
    <cfRule type="cellIs" dxfId="98" priority="151" stopIfTrue="1" operator="equal">
      <formula>$J$46</formula>
    </cfRule>
  </conditionalFormatting>
  <conditionalFormatting sqref="D51">
    <cfRule type="containsText" dxfId="97" priority="23" stopIfTrue="1" operator="containsText" text="CANNOT">
      <formula>NOT(ISERROR(SEARCH("CANNOT",D51)))</formula>
    </cfRule>
    <cfRule type="containsText" dxfId="96" priority="24" stopIfTrue="1" operator="containsText" text="INSUFFICIENT">
      <formula>NOT(ISERROR(SEARCH("INSUFFICIENT",D51)))</formula>
    </cfRule>
  </conditionalFormatting>
  <conditionalFormatting sqref="D53">
    <cfRule type="cellIs" dxfId="95" priority="152" stopIfTrue="1" operator="equal">
      <formula>$J$53</formula>
    </cfRule>
  </conditionalFormatting>
  <conditionalFormatting sqref="D58">
    <cfRule type="cellIs" dxfId="94" priority="155" stopIfTrue="1" operator="equal">
      <formula>$J$58</formula>
    </cfRule>
  </conditionalFormatting>
  <conditionalFormatting sqref="D59">
    <cfRule type="cellIs" dxfId="93" priority="156" stopIfTrue="1" operator="equal">
      <formula>$J$59</formula>
    </cfRule>
  </conditionalFormatting>
  <conditionalFormatting sqref="F21">
    <cfRule type="expression" dxfId="92" priority="40" stopIfTrue="1">
      <formula>$P$47&gt;$P$48</formula>
    </cfRule>
    <cfRule type="expression" dxfId="91" priority="41" stopIfTrue="1">
      <formula>$P$47&lt;$P$48</formula>
    </cfRule>
  </conditionalFormatting>
  <conditionalFormatting sqref="F24">
    <cfRule type="containsText" dxfId="90" priority="39" stopIfTrue="1" operator="containsText" text="above">
      <formula>NOT(ISERROR(SEARCH("above",F24)))</formula>
    </cfRule>
  </conditionalFormatting>
  <conditionalFormatting sqref="K21">
    <cfRule type="containsText" dxfId="89" priority="38" stopIfTrue="1" operator="containsText" text="reliant">
      <formula>NOT(ISERROR(SEARCH("reliant",K21)))</formula>
    </cfRule>
  </conditionalFormatting>
  <conditionalFormatting sqref="N139">
    <cfRule type="cellIs" dxfId="88" priority="64" stopIfTrue="1" operator="lessThan">
      <formula>0</formula>
    </cfRule>
  </conditionalFormatting>
  <conditionalFormatting sqref="N143">
    <cfRule type="cellIs" dxfId="87" priority="63" stopIfTrue="1" operator="lessThan">
      <formula>0</formula>
    </cfRule>
  </conditionalFormatting>
  <conditionalFormatting sqref="O74">
    <cfRule type="cellIs" dxfId="86" priority="58" stopIfTrue="1" operator="lessThan">
      <formula>0</formula>
    </cfRule>
  </conditionalFormatting>
  <conditionalFormatting sqref="O98">
    <cfRule type="cellIs" dxfId="85" priority="25" stopIfTrue="1" operator="greaterThan">
      <formula>1</formula>
    </cfRule>
    <cfRule type="cellIs" dxfId="84" priority="26" stopIfTrue="1" operator="lessThan">
      <formula>1</formula>
    </cfRule>
    <cfRule type="cellIs" dxfId="83" priority="27" stopIfTrue="1" operator="between">
      <formula>1</formula>
      <formula>1.1</formula>
    </cfRule>
  </conditionalFormatting>
  <conditionalFormatting sqref="P98">
    <cfRule type="containsText" dxfId="82" priority="28" stopIfTrue="1" operator="containsText" text="PASS">
      <formula>NOT(ISERROR(SEARCH("PASS",P98)))</formula>
    </cfRule>
    <cfRule type="containsText" dxfId="81" priority="29" stopIfTrue="1" operator="containsText" text="REFER">
      <formula>NOT(ISERROR(SEARCH("REFER",P98)))</formula>
    </cfRule>
    <cfRule type="containsText" dxfId="80" priority="30" stopIfTrue="1" operator="containsText" text="FAIL">
      <formula>NOT(ISERROR(SEARCH("FAIL",P98)))</formula>
    </cfRule>
  </conditionalFormatting>
  <conditionalFormatting sqref="Q74">
    <cfRule type="cellIs" dxfId="79" priority="57" stopIfTrue="1" operator="lessThan">
      <formula>0</formula>
    </cfRule>
  </conditionalFormatting>
  <conditionalFormatting sqref="Q143">
    <cfRule type="expression" dxfId="78" priority="96" stopIfTrue="1">
      <formula>$R$143="FAIL"</formula>
    </cfRule>
    <cfRule type="expression" dxfId="77" priority="97" stopIfTrue="1">
      <formula>$R$143="PASS"</formula>
    </cfRule>
  </conditionalFormatting>
  <conditionalFormatting sqref="R98">
    <cfRule type="cellIs" dxfId="76" priority="31" stopIfTrue="1" operator="greaterThan">
      <formula>1.1</formula>
    </cfRule>
    <cfRule type="cellIs" dxfId="75" priority="32" stopIfTrue="1" operator="between">
      <formula>1</formula>
      <formula>1.1</formula>
    </cfRule>
    <cfRule type="cellIs" dxfId="74" priority="33" stopIfTrue="1" operator="lessThan">
      <formula>1</formula>
    </cfRule>
  </conditionalFormatting>
  <conditionalFormatting sqref="R139">
    <cfRule type="cellIs" dxfId="73" priority="62" stopIfTrue="1" operator="lessThan">
      <formula>0</formula>
    </cfRule>
  </conditionalFormatting>
  <conditionalFormatting sqref="R143">
    <cfRule type="containsText" dxfId="72" priority="51" stopIfTrue="1" operator="containsText" text="FAIL">
      <formula>NOT(ISERROR(SEARCH("FAIL",R143)))</formula>
    </cfRule>
    <cfRule type="containsText" dxfId="71" priority="52" stopIfTrue="1" operator="containsText" text="PASS">
      <formula>NOT(ISERROR(SEARCH("PASS",R143)))</formula>
    </cfRule>
  </conditionalFormatting>
  <conditionalFormatting sqref="R74:T74">
    <cfRule type="containsText" dxfId="70" priority="53" stopIfTrue="1" operator="containsText" text="no income">
      <formula>NOT(ISERROR(SEARCH("no income",R74)))</formula>
    </cfRule>
    <cfRule type="containsText" dxfId="69" priority="54" stopIfTrue="1" operator="containsText" text="left over">
      <formula>NOT(ISERROR(SEARCH("left over",R74)))</formula>
    </cfRule>
  </conditionalFormatting>
  <conditionalFormatting sqref="S98">
    <cfRule type="containsText" dxfId="68" priority="37" stopIfTrue="1" operator="containsText" text="PASS">
      <formula>NOT(ISERROR(SEARCH("PASS",S98)))</formula>
    </cfRule>
    <cfRule type="containsText" dxfId="67" priority="36" stopIfTrue="1" operator="containsText" text="REFER">
      <formula>NOT(ISERROR(SEARCH("REFER",S98)))</formula>
    </cfRule>
    <cfRule type="containsText" dxfId="66" priority="35" stopIfTrue="1" operator="containsText" text="FAIL">
      <formula>NOT(ISERROR(SEARCH("FAIL",S98)))</formula>
    </cfRule>
  </conditionalFormatting>
  <dataValidations count="11">
    <dataValidation type="list" allowBlank="1" showInputMessage="1" showErrorMessage="1" sqref="C34 I43" xr:uid="{00000000-0002-0000-0200-000000000000}">
      <formula1>$AE$55:$AE$56</formula1>
    </dataValidation>
    <dataValidation allowBlank="1" showInputMessage="1" showErrorMessage="1" prompt="Cost of typical monthly shop." sqref="D38:D39" xr:uid="{00000000-0002-0000-0200-000001000000}"/>
    <dataValidation allowBlank="1" showInputMessage="1" showErrorMessage="1" promptTitle="Please include" prompt="Dentistry, eye care, prescriptions, hairdressing, other insurances not already included, etc." sqref="D47:D48" xr:uid="{00000000-0002-0000-0200-000004000000}"/>
    <dataValidation allowBlank="1" showInputMessage="1" showErrorMessage="1" promptTitle="Please include" prompt="TV &amp; Internet subs e.g. TV Licence, SKY, Virgin Media, etc. _x000a_Other Streaming services such as Netflix, NOW TV, etc._x000a_Typical monthly socialising costs, e.g. meals out, takeaways, etc._x000a_Christmas &amp; birthday budgeting_x000a_Gym memberships_x000a_Magazine subs, etc." sqref="D53" xr:uid="{00000000-0002-0000-0200-000005000000}"/>
    <dataValidation allowBlank="1" showInputMessage="1" showErrorMessage="1" promptTitle="Please include" prompt="Average monthly spend on;_x000a_Home repairs and decorating_x000a_Furniture_x000a_White goods_x000a_Other electrical purchases" sqref="D59" xr:uid="{00000000-0002-0000-0200-000007000000}"/>
    <dataValidation allowBlank="1" showInputMessage="1" showErrorMessage="1" promptTitle="Please include" prompt="Average monthly holiday budget" sqref="D56" xr:uid="{00000000-0002-0000-0200-000009000000}"/>
    <dataValidation allowBlank="1" showInputMessage="1" showErrorMessage="1" prompt="Average monthly spend on clothing and shoes" sqref="D58" xr:uid="{00000000-0002-0000-0200-00000A000000}"/>
    <dataValidation allowBlank="1" showInputMessage="1" showErrorMessage="1" prompt="If the family member is already retired or will retire after the mortgage term ends please leave blank." sqref="Y17 Y26" xr:uid="{00000000-0002-0000-0200-00000B000000}"/>
    <dataValidation allowBlank="1" showInputMessage="1" showErrorMessage="1" prompt="Please leave blank if already retired." sqref="Y15 Y24" xr:uid="{00000000-0002-0000-0200-00000C000000}"/>
    <dataValidation allowBlank="1" showInputMessage="1" showErrorMessage="1" prompt="Complete Monthly Travel Costs Breakdown" sqref="D43:D44" xr:uid="{00000000-0002-0000-0200-00000D000000}"/>
    <dataValidation type="list" allowBlank="1" showInputMessage="1" showErrorMessage="1" sqref="J32" xr:uid="{4BA8E123-3A90-479F-8D8D-F03ABC200F08}">
      <formula1>$Q$14:$Q$15</formula1>
    </dataValidation>
  </dataValidations>
  <pageMargins left="0.31496062992125984" right="0.39370078740157483" top="0.27559055118110237" bottom="0.19685039370078741" header="0.31496062992125984" footer="0.19685039370078741"/>
  <pageSetup paperSize="9" scale="65"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32"/>
  <sheetViews>
    <sheetView showGridLines="0" topLeftCell="AH1" zoomScale="85" zoomScaleNormal="85" workbookViewId="0">
      <selection activeCell="BB36" sqref="BB36"/>
    </sheetView>
  </sheetViews>
  <sheetFormatPr defaultColWidth="9.109375" defaultRowHeight="13.2"/>
  <cols>
    <col min="1" max="1" width="52.109375" style="569" hidden="1" customWidth="1"/>
    <col min="2" max="2" width="9.109375" style="641" hidden="1" customWidth="1"/>
    <col min="3" max="3" width="8.109375" style="569" hidden="1" customWidth="1"/>
    <col min="4" max="4" width="14.33203125" style="569" hidden="1" customWidth="1"/>
    <col min="5" max="5" width="11.109375" style="569" hidden="1" customWidth="1"/>
    <col min="6" max="6" width="5.6640625" style="569" hidden="1" customWidth="1"/>
    <col min="7" max="7" width="14.33203125" style="569" hidden="1" customWidth="1"/>
    <col min="8" max="8" width="11.33203125" style="569" hidden="1" customWidth="1"/>
    <col min="9" max="9" width="8.109375" style="569" hidden="1" customWidth="1"/>
    <col min="10" max="11" width="9.109375" style="641" hidden="1" customWidth="1"/>
    <col min="12" max="13" width="9.109375" style="569" hidden="1" customWidth="1"/>
    <col min="14" max="14" width="42.109375" style="569" hidden="1" customWidth="1"/>
    <col min="15" max="15" width="17.33203125" style="569" hidden="1" customWidth="1"/>
    <col min="16" max="16" width="13" style="569" hidden="1" customWidth="1"/>
    <col min="17" max="17" width="14.33203125" style="569" hidden="1" customWidth="1"/>
    <col min="18" max="18" width="12.6640625" style="569" hidden="1" customWidth="1"/>
    <col min="19" max="19" width="12.88671875" style="569" hidden="1" customWidth="1"/>
    <col min="20" max="20" width="11.6640625" style="569" hidden="1" customWidth="1"/>
    <col min="21" max="21" width="36.6640625" style="569" hidden="1" customWidth="1"/>
    <col min="22" max="26" width="12.33203125" style="569" hidden="1" customWidth="1"/>
    <col min="27" max="27" width="16" style="569" hidden="1" customWidth="1"/>
    <col min="28" max="30" width="12.33203125" style="569" hidden="1" customWidth="1"/>
    <col min="31" max="33" width="9.109375" style="569" hidden="1" customWidth="1"/>
    <col min="34" max="48" width="9.109375" style="569" customWidth="1"/>
    <col min="49" max="16384" width="9.109375" style="569"/>
  </cols>
  <sheetData>
    <row r="1" spans="1:33">
      <c r="B1" s="569"/>
    </row>
    <row r="2" spans="1:33">
      <c r="A2" s="1201" t="s">
        <v>536</v>
      </c>
      <c r="B2" s="1202"/>
      <c r="C2" s="1203"/>
      <c r="D2" s="25" t="s">
        <v>20</v>
      </c>
      <c r="N2" s="569" t="s">
        <v>26</v>
      </c>
    </row>
    <row r="3" spans="1:33">
      <c r="A3" s="1204"/>
      <c r="B3" s="1205"/>
      <c r="C3" s="1206"/>
      <c r="D3" s="570"/>
      <c r="F3" s="634" t="s">
        <v>908</v>
      </c>
      <c r="N3" s="571" t="s">
        <v>138</v>
      </c>
    </row>
    <row r="4" spans="1:33">
      <c r="A4" s="572" t="s">
        <v>1457</v>
      </c>
      <c r="B4" s="569"/>
      <c r="N4" s="571" t="s">
        <v>139</v>
      </c>
    </row>
    <row r="5" spans="1:33" ht="12.75" customHeight="1">
      <c r="I5" s="573"/>
      <c r="N5" s="569" t="s">
        <v>380</v>
      </c>
    </row>
    <row r="6" spans="1:33">
      <c r="B6" s="569"/>
    </row>
    <row r="7" spans="1:33">
      <c r="A7" s="574" t="s">
        <v>381</v>
      </c>
      <c r="D7" s="1207" t="s">
        <v>719</v>
      </c>
      <c r="E7" s="1207"/>
      <c r="G7" s="1207" t="s">
        <v>754</v>
      </c>
      <c r="H7" s="1207"/>
      <c r="K7" s="641" t="s">
        <v>26</v>
      </c>
    </row>
    <row r="8" spans="1:33">
      <c r="L8" s="641"/>
      <c r="M8" s="641"/>
      <c r="N8" s="641"/>
      <c r="Q8" s="569" t="s">
        <v>26</v>
      </c>
    </row>
    <row r="9" spans="1:33">
      <c r="A9" s="569" t="s">
        <v>513</v>
      </c>
      <c r="D9" s="1210" t="str">
        <f>'Income &amp; Committed Expenditure'!B5</f>
        <v>No</v>
      </c>
      <c r="E9" s="1185"/>
      <c r="G9" s="1210" t="str">
        <f>'Income &amp; Committed Expenditure'!E5</f>
        <v>No</v>
      </c>
      <c r="H9" s="1185"/>
      <c r="N9" s="992" t="s">
        <v>906</v>
      </c>
      <c r="O9" s="993" t="s">
        <v>905</v>
      </c>
      <c r="P9" s="994"/>
      <c r="Q9" s="569" t="s">
        <v>26</v>
      </c>
      <c r="AG9" s="569" t="str">
        <f>'Occupy borrower Affordability'!D25</f>
        <v xml:space="preserve">*Below the state retirement age </v>
      </c>
    </row>
    <row r="10" spans="1:33" ht="13.5" customHeight="1" thickBot="1">
      <c r="U10" s="992" t="s">
        <v>909</v>
      </c>
      <c r="V10" s="995" t="s">
        <v>910</v>
      </c>
      <c r="W10" s="995"/>
      <c r="X10" s="995"/>
    </row>
    <row r="11" spans="1:33" ht="12.75" customHeight="1">
      <c r="A11" s="1208" t="s">
        <v>382</v>
      </c>
      <c r="D11" s="1201" t="s">
        <v>227</v>
      </c>
      <c r="E11" s="1202"/>
      <c r="F11" s="1202"/>
      <c r="G11" s="1202"/>
      <c r="H11" s="1203"/>
      <c r="N11" s="576"/>
      <c r="O11" s="577" t="s">
        <v>13</v>
      </c>
      <c r="P11" s="578"/>
      <c r="Q11" s="579" t="s">
        <v>50</v>
      </c>
      <c r="S11" s="641" t="s">
        <v>13</v>
      </c>
    </row>
    <row r="12" spans="1:33">
      <c r="A12" s="1209"/>
      <c r="C12" s="641"/>
      <c r="I12" s="641"/>
      <c r="N12" s="580" t="s">
        <v>55</v>
      </c>
      <c r="O12" s="630">
        <f>SUM(Q12/52)</f>
        <v>241.73076923076923</v>
      </c>
      <c r="P12" s="727">
        <v>0.08</v>
      </c>
      <c r="Q12" s="728">
        <v>12570</v>
      </c>
      <c r="R12" s="581"/>
      <c r="S12" s="641" t="s">
        <v>7</v>
      </c>
    </row>
    <row r="13" spans="1:33">
      <c r="D13" s="27" t="s">
        <v>228</v>
      </c>
      <c r="E13" s="27" t="s">
        <v>229</v>
      </c>
      <c r="G13" s="27" t="s">
        <v>228</v>
      </c>
      <c r="H13" s="27" t="s">
        <v>229</v>
      </c>
      <c r="J13" s="724" t="s">
        <v>52</v>
      </c>
      <c r="K13" s="724" t="s">
        <v>52</v>
      </c>
      <c r="N13" s="580" t="s">
        <v>56</v>
      </c>
      <c r="O13" s="630">
        <v>967</v>
      </c>
      <c r="P13" s="727">
        <v>0.02</v>
      </c>
      <c r="Q13" s="728">
        <v>50270</v>
      </c>
      <c r="S13" s="641" t="s">
        <v>50</v>
      </c>
      <c r="U13" s="574" t="s">
        <v>384</v>
      </c>
      <c r="Z13" s="574" t="s">
        <v>384</v>
      </c>
    </row>
    <row r="14" spans="1:33" ht="13.8" thickBot="1">
      <c r="B14" s="582" t="s">
        <v>54</v>
      </c>
      <c r="C14" s="583"/>
      <c r="D14" s="27">
        <f>'Income &amp; Committed Expenditure'!B8</f>
        <v>0</v>
      </c>
      <c r="E14" s="27">
        <f>'Income &amp; Committed Expenditure'!C8</f>
        <v>0</v>
      </c>
      <c r="G14" s="27">
        <f>'Income &amp; Committed Expenditure'!E8</f>
        <v>0</v>
      </c>
      <c r="H14" s="27">
        <f>'Income &amp; Committed Expenditure'!F8</f>
        <v>0</v>
      </c>
      <c r="J14" s="724" t="s">
        <v>5</v>
      </c>
      <c r="K14" s="724" t="s">
        <v>5</v>
      </c>
      <c r="N14" s="584"/>
      <c r="O14" s="729"/>
      <c r="P14" s="729"/>
      <c r="Q14" s="730">
        <f>Q13-Q12</f>
        <v>37700</v>
      </c>
      <c r="R14" s="585"/>
      <c r="AD14" s="586"/>
      <c r="AG14" s="574" t="s">
        <v>383</v>
      </c>
    </row>
    <row r="15" spans="1:33" ht="12.75" customHeight="1">
      <c r="A15" s="28" t="s">
        <v>31</v>
      </c>
      <c r="B15" s="587" t="s">
        <v>32</v>
      </c>
      <c r="D15" s="641" t="s">
        <v>51</v>
      </c>
      <c r="E15" s="641" t="s">
        <v>4</v>
      </c>
      <c r="G15" s="641" t="s">
        <v>51</v>
      </c>
      <c r="H15" s="641" t="s">
        <v>4</v>
      </c>
      <c r="U15" s="574" t="s">
        <v>386</v>
      </c>
      <c r="Z15" s="574" t="s">
        <v>387</v>
      </c>
    </row>
    <row r="16" spans="1:33" ht="12.75" customHeight="1">
      <c r="A16" s="29"/>
      <c r="B16" s="587"/>
      <c r="N16" s="575" t="s">
        <v>53</v>
      </c>
      <c r="O16" s="724" t="s">
        <v>0</v>
      </c>
      <c r="P16" s="574"/>
      <c r="Q16" s="724" t="s">
        <v>1</v>
      </c>
    </row>
    <row r="17" spans="1:30" ht="12.75" customHeight="1">
      <c r="A17" s="29" t="s">
        <v>47</v>
      </c>
      <c r="B17" s="538">
        <v>1</v>
      </c>
      <c r="D17" s="588">
        <f>'Income &amp; Committed Expenditure'!B12</f>
        <v>0</v>
      </c>
      <c r="E17" s="536" t="str">
        <f>'Income &amp; Committed Expenditure'!C12</f>
        <v>Annually</v>
      </c>
      <c r="G17" s="588">
        <f>'Income &amp; Committed Expenditure'!E12</f>
        <v>0</v>
      </c>
      <c r="H17" s="536" t="str">
        <f>'Income &amp; Committed Expenditure'!F12</f>
        <v>Annually</v>
      </c>
      <c r="J17" s="641">
        <f>IF(D17="",0,IF(E17="Annually",D17*B17,IF(E17="Monthly",D17*B17*12,D17*B17*52)))</f>
        <v>0</v>
      </c>
      <c r="K17" s="641">
        <f>IF(G17="",0,IF(H17="Annually",G17*B17,IF(H17="Monthly",G17*B17*12,G17*B17*52)))</f>
        <v>0</v>
      </c>
      <c r="U17" s="569" t="s">
        <v>389</v>
      </c>
      <c r="V17" s="600">
        <f>SUM(J17:J43)-SUM(J46:J48)-V18</f>
        <v>0</v>
      </c>
      <c r="Z17" s="569" t="s">
        <v>389</v>
      </c>
      <c r="AA17" s="600"/>
      <c r="AB17" s="600">
        <f>SUM(K17:K43)-SUM(K46:K48)-AB18</f>
        <v>0</v>
      </c>
    </row>
    <row r="18" spans="1:30" ht="12.75" customHeight="1">
      <c r="A18" s="29" t="s">
        <v>33</v>
      </c>
      <c r="B18" s="538">
        <v>1</v>
      </c>
      <c r="D18" s="588">
        <f>'Income &amp; Committed Expenditure'!B13</f>
        <v>0</v>
      </c>
      <c r="E18" s="536" t="str">
        <f>'Income &amp; Committed Expenditure'!C13</f>
        <v>Annually</v>
      </c>
      <c r="G18" s="588">
        <f>'Income &amp; Committed Expenditure'!E13</f>
        <v>0</v>
      </c>
      <c r="H18" s="536" t="str">
        <f>'Income &amp; Committed Expenditure'!F13</f>
        <v>Annually</v>
      </c>
      <c r="J18" s="641">
        <f>IF(D18="",0,IF(E18="Annually",D18*B18,IF(E18="Monthly",D18*B18*12,D18*B18*52)))</f>
        <v>0</v>
      </c>
      <c r="K18" s="641">
        <f t="shared" ref="K18:K28" si="0">IF(G18="",0,IF(H18="Annually",G18*B18,IF(H18="Monthly",G18*B18*12,G18*B18*52)))</f>
        <v>0</v>
      </c>
      <c r="N18" s="569" t="s">
        <v>385</v>
      </c>
      <c r="O18" s="589">
        <f>SUM(J17:J43)-SUM(J46:J48)</f>
        <v>0</v>
      </c>
      <c r="P18" s="589"/>
      <c r="Q18" s="589">
        <f>SUM(K17:K43)-SUM(K46:K48)</f>
        <v>0</v>
      </c>
      <c r="U18" s="569" t="s">
        <v>392</v>
      </c>
      <c r="V18" s="600">
        <f>J19</f>
        <v>0</v>
      </c>
      <c r="Z18" s="569" t="s">
        <v>392</v>
      </c>
      <c r="AA18" s="600"/>
      <c r="AB18" s="600">
        <f>K19</f>
        <v>0</v>
      </c>
    </row>
    <row r="19" spans="1:30" ht="12.75" customHeight="1">
      <c r="A19" s="29" t="s">
        <v>34</v>
      </c>
      <c r="B19" s="538">
        <v>1</v>
      </c>
      <c r="D19" s="588">
        <f>'Income &amp; Committed Expenditure'!B14</f>
        <v>0</v>
      </c>
      <c r="E19" s="536" t="str">
        <f>'Income &amp; Committed Expenditure'!C14</f>
        <v>Annually</v>
      </c>
      <c r="G19" s="588">
        <f>'Income &amp; Committed Expenditure'!E14</f>
        <v>0</v>
      </c>
      <c r="H19" s="536" t="str">
        <f>'Income &amp; Committed Expenditure'!F14</f>
        <v>Annually</v>
      </c>
      <c r="J19" s="641">
        <f t="shared" ref="J19:J27" si="1">IF(D19="",0,IF(E19="Annually",D19*B19,IF(E19="Monthly",D19*B19*12,D19*B19*52)))</f>
        <v>0</v>
      </c>
      <c r="K19" s="641">
        <f t="shared" si="0"/>
        <v>0</v>
      </c>
      <c r="U19" s="569" t="s">
        <v>2</v>
      </c>
      <c r="V19" s="600">
        <f>V17+V18</f>
        <v>0</v>
      </c>
      <c r="Z19" s="569" t="s">
        <v>2</v>
      </c>
      <c r="AA19" s="600"/>
      <c r="AB19" s="600">
        <f>AB17+AB18</f>
        <v>0</v>
      </c>
    </row>
    <row r="20" spans="1:30" ht="12.75" customHeight="1">
      <c r="A20" s="30" t="s">
        <v>550</v>
      </c>
      <c r="B20" s="538">
        <v>1</v>
      </c>
      <c r="D20" s="588">
        <f>'Income &amp; Committed Expenditure'!B15</f>
        <v>0</v>
      </c>
      <c r="E20" s="536" t="str">
        <f>'Income &amp; Committed Expenditure'!C15</f>
        <v>Annually</v>
      </c>
      <c r="G20" s="588">
        <f>'Income &amp; Committed Expenditure'!E15</f>
        <v>0</v>
      </c>
      <c r="H20" s="536" t="str">
        <f>'Income &amp; Committed Expenditure'!F15</f>
        <v>Annually</v>
      </c>
      <c r="J20" s="641">
        <f t="shared" si="1"/>
        <v>0</v>
      </c>
      <c r="K20" s="641">
        <f t="shared" si="0"/>
        <v>0</v>
      </c>
      <c r="N20" s="569" t="s">
        <v>388</v>
      </c>
      <c r="O20" s="581">
        <f>SUM(O18-O22)</f>
        <v>0</v>
      </c>
      <c r="Q20" s="589">
        <f>SUM(Q18-Q22)</f>
        <v>0</v>
      </c>
      <c r="U20" s="569" t="s">
        <v>851</v>
      </c>
      <c r="V20" s="600">
        <v>12570</v>
      </c>
      <c r="Z20" s="569" t="s">
        <v>851</v>
      </c>
      <c r="AA20" s="600"/>
      <c r="AB20" s="600">
        <v>12570</v>
      </c>
    </row>
    <row r="21" spans="1:30" ht="12.75" customHeight="1">
      <c r="A21" s="29" t="s">
        <v>48</v>
      </c>
      <c r="B21" s="538">
        <v>1</v>
      </c>
      <c r="C21" s="569" t="s">
        <v>565</v>
      </c>
      <c r="D21" s="590">
        <v>0</v>
      </c>
      <c r="E21" s="537" t="s">
        <v>7</v>
      </c>
      <c r="G21" s="590">
        <v>0</v>
      </c>
      <c r="H21" s="537" t="s">
        <v>7</v>
      </c>
      <c r="I21" s="569" t="s">
        <v>565</v>
      </c>
      <c r="J21" s="641">
        <f t="shared" si="1"/>
        <v>0</v>
      </c>
      <c r="K21" s="641">
        <f t="shared" si="0"/>
        <v>0</v>
      </c>
      <c r="L21" s="569" t="s">
        <v>26</v>
      </c>
      <c r="W21" s="592" t="s">
        <v>389</v>
      </c>
      <c r="X21" s="592" t="s">
        <v>391</v>
      </c>
      <c r="AC21" s="592" t="s">
        <v>389</v>
      </c>
      <c r="AD21" s="592" t="s">
        <v>391</v>
      </c>
    </row>
    <row r="22" spans="1:30" ht="12.75" customHeight="1">
      <c r="A22" s="29" t="s">
        <v>49</v>
      </c>
      <c r="B22" s="538">
        <v>1</v>
      </c>
      <c r="C22" s="569" t="s">
        <v>565</v>
      </c>
      <c r="D22" s="590">
        <v>0</v>
      </c>
      <c r="E22" s="537" t="s">
        <v>7</v>
      </c>
      <c r="G22" s="590">
        <v>0</v>
      </c>
      <c r="H22" s="537" t="s">
        <v>7</v>
      </c>
      <c r="I22" s="569" t="s">
        <v>565</v>
      </c>
      <c r="J22" s="641">
        <f t="shared" si="1"/>
        <v>0</v>
      </c>
      <c r="K22" s="641">
        <f t="shared" si="0"/>
        <v>0</v>
      </c>
      <c r="N22" s="569" t="s">
        <v>390</v>
      </c>
      <c r="O22" s="589">
        <f>J19</f>
        <v>0</v>
      </c>
      <c r="Q22" s="589">
        <f>K19</f>
        <v>0</v>
      </c>
      <c r="U22" s="569" t="s">
        <v>852</v>
      </c>
      <c r="V22" s="731">
        <v>500</v>
      </c>
      <c r="X22" s="647">
        <v>0</v>
      </c>
      <c r="Z22" s="569" t="s">
        <v>852</v>
      </c>
      <c r="AB22" s="731">
        <v>500</v>
      </c>
      <c r="AD22" s="647">
        <v>0</v>
      </c>
    </row>
    <row r="23" spans="1:30" ht="12.75" customHeight="1">
      <c r="A23" s="29" t="s">
        <v>35</v>
      </c>
      <c r="B23" s="538">
        <v>1</v>
      </c>
      <c r="C23" s="569" t="s">
        <v>565</v>
      </c>
      <c r="D23" s="590">
        <v>0</v>
      </c>
      <c r="E23" s="537" t="s">
        <v>7</v>
      </c>
      <c r="G23" s="590">
        <v>0</v>
      </c>
      <c r="H23" s="537" t="s">
        <v>7</v>
      </c>
      <c r="I23" s="569" t="s">
        <v>565</v>
      </c>
      <c r="J23" s="641">
        <f t="shared" si="1"/>
        <v>0</v>
      </c>
      <c r="K23" s="641">
        <f t="shared" si="0"/>
        <v>0</v>
      </c>
      <c r="M23" s="641"/>
      <c r="T23" s="591"/>
      <c r="U23" s="648" t="s">
        <v>393</v>
      </c>
      <c r="V23" s="649">
        <v>37700</v>
      </c>
      <c r="W23" s="650">
        <v>0.2</v>
      </c>
      <c r="X23" s="651">
        <v>8.7499999999999994E-2</v>
      </c>
      <c r="Y23" s="648"/>
      <c r="Z23" s="648" t="s">
        <v>393</v>
      </c>
      <c r="AA23" s="648"/>
      <c r="AB23" s="649">
        <v>37700</v>
      </c>
      <c r="AC23" s="652">
        <v>0.2</v>
      </c>
      <c r="AD23" s="647">
        <v>8.7499999999999994E-2</v>
      </c>
    </row>
    <row r="24" spans="1:30" ht="12.75" customHeight="1">
      <c r="A24" s="29" t="s">
        <v>36</v>
      </c>
      <c r="B24" s="538">
        <v>1</v>
      </c>
      <c r="C24" s="569" t="s">
        <v>565</v>
      </c>
      <c r="D24" s="590">
        <v>0</v>
      </c>
      <c r="E24" s="537" t="s">
        <v>7</v>
      </c>
      <c r="G24" s="590">
        <v>0</v>
      </c>
      <c r="H24" s="537" t="s">
        <v>7</v>
      </c>
      <c r="I24" s="569" t="s">
        <v>565</v>
      </c>
      <c r="J24" s="641">
        <f t="shared" si="1"/>
        <v>0</v>
      </c>
      <c r="K24" s="641">
        <f t="shared" si="0"/>
        <v>0</v>
      </c>
      <c r="U24" s="569" t="s">
        <v>409</v>
      </c>
      <c r="V24" s="731">
        <v>125140</v>
      </c>
      <c r="W24" s="652">
        <v>0.4</v>
      </c>
      <c r="X24" s="647">
        <v>0.33750000000000002</v>
      </c>
      <c r="Z24" s="569" t="s">
        <v>409</v>
      </c>
      <c r="AB24" s="731">
        <v>125140</v>
      </c>
      <c r="AC24" s="652">
        <v>0.4</v>
      </c>
      <c r="AD24" s="647">
        <v>0.33750000000000002</v>
      </c>
    </row>
    <row r="25" spans="1:30" ht="12.75" customHeight="1">
      <c r="A25" s="29" t="s">
        <v>37</v>
      </c>
      <c r="B25" s="538">
        <v>1</v>
      </c>
      <c r="C25" s="569" t="s">
        <v>565</v>
      </c>
      <c r="D25" s="590">
        <v>0</v>
      </c>
      <c r="E25" s="537" t="s">
        <v>7</v>
      </c>
      <c r="G25" s="590">
        <v>0</v>
      </c>
      <c r="H25" s="537" t="s">
        <v>7</v>
      </c>
      <c r="I25" s="569" t="s">
        <v>565</v>
      </c>
      <c r="J25" s="641">
        <f>IF(D25="",0,IF(E25="Annually",D25*B25,IF(E25="Monthly",D25*B25*12,D25*B25*52)))</f>
        <v>0</v>
      </c>
      <c r="K25" s="641">
        <f t="shared" si="0"/>
        <v>0</v>
      </c>
      <c r="T25" s="592"/>
      <c r="U25" s="571" t="s">
        <v>394</v>
      </c>
      <c r="V25" s="653"/>
      <c r="W25" s="654">
        <v>0.45</v>
      </c>
      <c r="X25" s="655">
        <v>0.39350000000000002</v>
      </c>
      <c r="Y25" s="592"/>
      <c r="Z25" s="592" t="s">
        <v>394</v>
      </c>
      <c r="AA25" s="592"/>
      <c r="AB25" s="653"/>
      <c r="AC25" s="652">
        <v>0.45</v>
      </c>
      <c r="AD25" s="647">
        <v>0.39350000000000002</v>
      </c>
    </row>
    <row r="26" spans="1:30" ht="12.75" customHeight="1">
      <c r="A26" s="29" t="s">
        <v>38</v>
      </c>
      <c r="B26" s="538">
        <v>1</v>
      </c>
      <c r="C26" s="569" t="s">
        <v>565</v>
      </c>
      <c r="D26" s="590">
        <v>0</v>
      </c>
      <c r="E26" s="537" t="s">
        <v>7</v>
      </c>
      <c r="G26" s="590">
        <v>0</v>
      </c>
      <c r="H26" s="537" t="s">
        <v>7</v>
      </c>
      <c r="I26" s="569" t="s">
        <v>565</v>
      </c>
      <c r="J26" s="641">
        <f>IF(D26="",0,IF(E26="Annually",D26*B26,IF(E26="Monthly",D26*B26*12,D26*B26*52)))</f>
        <v>0</v>
      </c>
      <c r="K26" s="641">
        <f t="shared" si="0"/>
        <v>0</v>
      </c>
      <c r="L26" s="569" t="s">
        <v>26</v>
      </c>
      <c r="O26" s="591"/>
      <c r="T26" s="591"/>
      <c r="U26" s="648"/>
      <c r="V26" s="648"/>
      <c r="W26" s="648"/>
      <c r="X26" s="648"/>
      <c r="Y26" s="648"/>
      <c r="Z26" s="648"/>
      <c r="AA26" s="648"/>
      <c r="AB26" s="648"/>
    </row>
    <row r="27" spans="1:30" ht="12.75" customHeight="1">
      <c r="A27" s="29" t="s">
        <v>46</v>
      </c>
      <c r="B27" s="538">
        <v>1</v>
      </c>
      <c r="C27" s="569" t="s">
        <v>565</v>
      </c>
      <c r="D27" s="590">
        <v>0</v>
      </c>
      <c r="E27" s="537" t="s">
        <v>7</v>
      </c>
      <c r="G27" s="590">
        <v>0</v>
      </c>
      <c r="H27" s="537" t="s">
        <v>7</v>
      </c>
      <c r="I27" s="569" t="s">
        <v>565</v>
      </c>
      <c r="J27" s="641">
        <f t="shared" si="1"/>
        <v>0</v>
      </c>
      <c r="K27" s="641">
        <f t="shared" si="0"/>
        <v>0</v>
      </c>
      <c r="T27" s="591"/>
      <c r="U27" s="648" t="s">
        <v>395</v>
      </c>
      <c r="V27" s="649">
        <v>100000</v>
      </c>
      <c r="W27" s="648"/>
      <c r="X27" s="648"/>
      <c r="Y27" s="648"/>
      <c r="Z27" s="648" t="s">
        <v>395</v>
      </c>
      <c r="AA27" s="648"/>
      <c r="AB27" s="649">
        <v>100000</v>
      </c>
    </row>
    <row r="28" spans="1:30" ht="12.75" customHeight="1">
      <c r="A28" s="29" t="s">
        <v>436</v>
      </c>
      <c r="B28" s="538">
        <v>1</v>
      </c>
      <c r="C28" s="569" t="s">
        <v>565</v>
      </c>
      <c r="D28" s="590">
        <v>0</v>
      </c>
      <c r="E28" s="537" t="s">
        <v>7</v>
      </c>
      <c r="G28" s="590">
        <v>0</v>
      </c>
      <c r="H28" s="537" t="s">
        <v>7</v>
      </c>
      <c r="I28" s="569" t="s">
        <v>565</v>
      </c>
      <c r="J28" s="641">
        <f>IF(D28="",0,IF(E28="Annually",D28*B28,IF(E28="Monthly",D28*B28*12,D28*B28*52)))</f>
        <v>0</v>
      </c>
      <c r="K28" s="641">
        <f t="shared" si="0"/>
        <v>0</v>
      </c>
      <c r="U28" s="569" t="s">
        <v>853</v>
      </c>
      <c r="V28" s="600">
        <f>IF(V19&lt;V27,0,(V19-V27)/2)</f>
        <v>0</v>
      </c>
      <c r="Z28" s="569" t="s">
        <v>853</v>
      </c>
      <c r="AB28" s="600">
        <f>IF(AB19&lt;AB27,0,(AB19-AB27)/2)</f>
        <v>0</v>
      </c>
    </row>
    <row r="29" spans="1:30" ht="12.75" customHeight="1">
      <c r="O29" s="591"/>
      <c r="P29" s="591"/>
      <c r="Q29" s="591"/>
      <c r="U29" s="569" t="s">
        <v>854</v>
      </c>
      <c r="V29" s="600">
        <f>IF(V28&gt;V20,0,IF(V28=0,V20,V20-V28))</f>
        <v>12570</v>
      </c>
      <c r="W29" s="597"/>
      <c r="X29" s="597"/>
      <c r="Y29" s="597"/>
      <c r="Z29" s="569" t="s">
        <v>854</v>
      </c>
      <c r="AB29" s="600">
        <f>IF(AB28&gt;AB20,0,IF(AB28=0,AB20,AB20-AB28))</f>
        <v>12570</v>
      </c>
      <c r="AC29" s="593"/>
      <c r="AD29" s="597"/>
    </row>
    <row r="30" spans="1:30" ht="12.75" customHeight="1">
      <c r="A30" s="594" t="s">
        <v>562</v>
      </c>
      <c r="B30" s="538">
        <v>0.5</v>
      </c>
      <c r="D30" s="590">
        <f>'Income &amp; Committed Expenditure'!B16</f>
        <v>0</v>
      </c>
      <c r="E30" s="537" t="str">
        <f>'Income &amp; Committed Expenditure'!C16</f>
        <v>Annually</v>
      </c>
      <c r="G30" s="590">
        <f>'Income &amp; Committed Expenditure'!E16</f>
        <v>0</v>
      </c>
      <c r="H30" s="537" t="str">
        <f>'Income &amp; Committed Expenditure'!F16</f>
        <v>Annually</v>
      </c>
      <c r="J30" s="641">
        <f t="shared" ref="J30:J37" si="2">IF(D30="",0,IF(E30="Annually",D30*B30,IF(E30="Monthly",D30*B30*12,D30*B30*52)))</f>
        <v>0</v>
      </c>
      <c r="K30" s="641">
        <f t="shared" ref="K30:K37" si="3">IF(G30="",0,IF(H30="Annually",G30*B30,IF(H30="Monthly",G30*B30*12,G30*B30*52)))</f>
        <v>0</v>
      </c>
      <c r="N30" s="595"/>
      <c r="O30" s="596"/>
      <c r="P30" s="596"/>
      <c r="Q30" s="596"/>
      <c r="U30" s="597" t="s">
        <v>855</v>
      </c>
      <c r="V30" s="600">
        <f>100000+(V20*2)</f>
        <v>125140</v>
      </c>
      <c r="W30" s="597"/>
      <c r="X30" s="597"/>
      <c r="Y30" s="597"/>
      <c r="Z30" s="597" t="s">
        <v>855</v>
      </c>
      <c r="AA30" s="597"/>
      <c r="AB30" s="600">
        <f>100000+(AB20*2)</f>
        <v>125140</v>
      </c>
      <c r="AC30" s="597"/>
      <c r="AD30" s="597"/>
    </row>
    <row r="31" spans="1:30" ht="12.75" customHeight="1">
      <c r="A31" s="29" t="s">
        <v>45</v>
      </c>
      <c r="B31" s="538">
        <v>0.5</v>
      </c>
      <c r="C31" s="569" t="s">
        <v>565</v>
      </c>
      <c r="D31" s="590">
        <v>0</v>
      </c>
      <c r="E31" s="537" t="s">
        <v>7</v>
      </c>
      <c r="G31" s="590">
        <v>0</v>
      </c>
      <c r="H31" s="537" t="s">
        <v>7</v>
      </c>
      <c r="I31" s="569" t="s">
        <v>565</v>
      </c>
      <c r="J31" s="641">
        <f t="shared" si="2"/>
        <v>0</v>
      </c>
      <c r="K31" s="641">
        <f t="shared" si="3"/>
        <v>0</v>
      </c>
      <c r="N31" s="569" t="s">
        <v>57</v>
      </c>
      <c r="O31" s="591">
        <f>IF(O20+J46&lt;Q12,0,IF(O20+J46&gt;$Q$13,$Q$14*$P$12,(O20+J46-Q12)*$P$12))</f>
        <v>0</v>
      </c>
      <c r="P31" s="591"/>
      <c r="Q31" s="591">
        <f>IF(Q20+K46&lt;Q12,0,IF(Q20+K46&gt;$Q$13,$Q$14*$P$12,(Q20+K46-Q12)*$P$12))</f>
        <v>0</v>
      </c>
      <c r="U31" s="597"/>
      <c r="V31" s="597"/>
      <c r="W31" s="597"/>
      <c r="X31" s="597"/>
      <c r="Y31" s="597"/>
      <c r="Z31" s="597"/>
      <c r="AA31" s="597"/>
      <c r="AB31" s="597"/>
      <c r="AC31" s="597"/>
      <c r="AD31" s="597"/>
    </row>
    <row r="32" spans="1:30" ht="12.75" customHeight="1">
      <c r="A32" s="29" t="s">
        <v>44</v>
      </c>
      <c r="B32" s="538">
        <v>0.5</v>
      </c>
      <c r="C32" s="569" t="s">
        <v>565</v>
      </c>
      <c r="D32" s="590">
        <v>0</v>
      </c>
      <c r="E32" s="537" t="s">
        <v>7</v>
      </c>
      <c r="G32" s="590">
        <v>0</v>
      </c>
      <c r="H32" s="537" t="s">
        <v>7</v>
      </c>
      <c r="I32" s="569" t="s">
        <v>565</v>
      </c>
      <c r="J32" s="641">
        <f t="shared" si="2"/>
        <v>0</v>
      </c>
      <c r="K32" s="641">
        <f t="shared" si="3"/>
        <v>0</v>
      </c>
      <c r="N32" s="569" t="s">
        <v>58</v>
      </c>
      <c r="O32" s="591">
        <f>IF(O20+J46&lt;$Q$13,0,(O20+J46-$Q$13)*$P$13)</f>
        <v>0</v>
      </c>
      <c r="P32" s="591"/>
      <c r="Q32" s="591">
        <f>IF(Q20+K46&lt;$Q$13,0,(Q20+K46-$Q$13)*$P$13)</f>
        <v>0</v>
      </c>
      <c r="U32" s="574" t="s">
        <v>856</v>
      </c>
      <c r="V32" s="600"/>
      <c r="Z32" s="574" t="s">
        <v>856</v>
      </c>
      <c r="AB32" s="600"/>
      <c r="AC32" s="641"/>
    </row>
    <row r="33" spans="1:30" ht="12.75" customHeight="1">
      <c r="A33" s="29" t="s">
        <v>39</v>
      </c>
      <c r="B33" s="538">
        <v>0.5</v>
      </c>
      <c r="C33" s="569" t="s">
        <v>565</v>
      </c>
      <c r="D33" s="590">
        <v>0</v>
      </c>
      <c r="E33" s="537" t="s">
        <v>7</v>
      </c>
      <c r="G33" s="590">
        <v>0</v>
      </c>
      <c r="H33" s="537" t="s">
        <v>7</v>
      </c>
      <c r="I33" s="569" t="s">
        <v>565</v>
      </c>
      <c r="J33" s="641">
        <f t="shared" si="2"/>
        <v>0</v>
      </c>
      <c r="K33" s="641">
        <f t="shared" si="3"/>
        <v>0</v>
      </c>
      <c r="N33" s="595"/>
      <c r="O33" s="596"/>
      <c r="P33" s="596"/>
      <c r="Q33" s="596"/>
      <c r="U33" s="569" t="s">
        <v>396</v>
      </c>
      <c r="V33" s="598">
        <f>IF(V20&gt;V19,V17,IF(V19&gt;V30,0,IF(V29&gt;V17,V17,V29)))</f>
        <v>0</v>
      </c>
      <c r="W33" s="652">
        <v>0</v>
      </c>
      <c r="X33" s="600">
        <f>W33*V33</f>
        <v>0</v>
      </c>
      <c r="Z33" s="569" t="s">
        <v>396</v>
      </c>
      <c r="AB33" s="598">
        <f>IF(AB20&gt;AB19,AB17,IF(AB19&gt;AB30,0,IF(AB29&gt;AB17,AB17,AB29)))</f>
        <v>0</v>
      </c>
      <c r="AC33" s="654">
        <v>0</v>
      </c>
      <c r="AD33" s="600">
        <f>AC33*AB33</f>
        <v>0</v>
      </c>
    </row>
    <row r="34" spans="1:30" ht="12.75" customHeight="1">
      <c r="A34" s="29" t="s">
        <v>40</v>
      </c>
      <c r="B34" s="538">
        <v>0.5</v>
      </c>
      <c r="C34" s="569" t="s">
        <v>565</v>
      </c>
      <c r="D34" s="590">
        <v>0</v>
      </c>
      <c r="E34" s="537" t="s">
        <v>7</v>
      </c>
      <c r="G34" s="590">
        <v>0</v>
      </c>
      <c r="H34" s="537" t="s">
        <v>7</v>
      </c>
      <c r="I34" s="569" t="s">
        <v>565</v>
      </c>
      <c r="J34" s="641">
        <f t="shared" si="2"/>
        <v>0</v>
      </c>
      <c r="K34" s="641">
        <f t="shared" si="3"/>
        <v>0</v>
      </c>
      <c r="N34" s="569" t="s">
        <v>59</v>
      </c>
      <c r="O34" s="596">
        <f>X34</f>
        <v>0</v>
      </c>
      <c r="P34" s="596"/>
      <c r="Q34" s="596">
        <f>AD34</f>
        <v>0</v>
      </c>
      <c r="R34" s="591"/>
      <c r="U34" s="569" t="s">
        <v>408</v>
      </c>
      <c r="V34" s="598">
        <f>IF(V17&lt;(V23+V33),V17-V33,IF(V17&lt;V24,V23,V23))</f>
        <v>0</v>
      </c>
      <c r="W34" s="652">
        <f>W23</f>
        <v>0.2</v>
      </c>
      <c r="X34" s="600">
        <f>W34*V34</f>
        <v>0</v>
      </c>
      <c r="Z34" s="569" t="s">
        <v>408</v>
      </c>
      <c r="AB34" s="598">
        <f>IF(AB17&lt;(AB23+AB33),AB17-AB33,IF(AB17&lt;AB24,AB23,AB23))</f>
        <v>0</v>
      </c>
      <c r="AC34" s="652">
        <f>AC23</f>
        <v>0.2</v>
      </c>
      <c r="AD34" s="600">
        <f t="shared" ref="AD34:AD36" si="4">AC34*AB34</f>
        <v>0</v>
      </c>
    </row>
    <row r="35" spans="1:30" ht="12.75" customHeight="1">
      <c r="A35" s="29" t="s">
        <v>437</v>
      </c>
      <c r="B35" s="538">
        <v>0.5</v>
      </c>
      <c r="C35" s="569" t="s">
        <v>565</v>
      </c>
      <c r="D35" s="590">
        <v>0</v>
      </c>
      <c r="E35" s="537" t="s">
        <v>7</v>
      </c>
      <c r="G35" s="590">
        <v>0</v>
      </c>
      <c r="H35" s="537" t="s">
        <v>7</v>
      </c>
      <c r="I35" s="569" t="s">
        <v>565</v>
      </c>
      <c r="J35" s="641">
        <f t="shared" si="2"/>
        <v>0</v>
      </c>
      <c r="K35" s="641">
        <f t="shared" si="3"/>
        <v>0</v>
      </c>
      <c r="N35" s="569" t="s">
        <v>60</v>
      </c>
      <c r="O35" s="596">
        <f t="shared" ref="O35" si="5">X35</f>
        <v>0</v>
      </c>
      <c r="P35" s="596"/>
      <c r="Q35" s="596">
        <f t="shared" ref="Q35" si="6">AD35</f>
        <v>0</v>
      </c>
      <c r="R35" s="591"/>
      <c r="U35" s="569" t="s">
        <v>409</v>
      </c>
      <c r="V35" s="598">
        <f>IF(V17&lt;V23+V29,0,IF(V17&lt;V24,V17-V34-V33,V24-V23))</f>
        <v>0</v>
      </c>
      <c r="W35" s="652">
        <f t="shared" ref="W35:W36" si="7">W24</f>
        <v>0.4</v>
      </c>
      <c r="X35" s="600">
        <f t="shared" ref="X35:X36" si="8">W35*V35</f>
        <v>0</v>
      </c>
      <c r="Z35" s="569" t="s">
        <v>409</v>
      </c>
      <c r="AB35" s="598">
        <f>IF(AB17&lt;AB23+AB29,0,IF(AB17&lt;AB24,AB17-AB34-AB33,AB24-AB23))</f>
        <v>0</v>
      </c>
      <c r="AC35" s="652">
        <f t="shared" ref="AC35:AC36" si="9">AC24</f>
        <v>0.4</v>
      </c>
      <c r="AD35" s="600">
        <f t="shared" si="4"/>
        <v>0</v>
      </c>
    </row>
    <row r="36" spans="1:30" ht="12.75" customHeight="1">
      <c r="A36" s="29" t="s">
        <v>438</v>
      </c>
      <c r="B36" s="538">
        <v>0.5</v>
      </c>
      <c r="C36" s="569" t="s">
        <v>565</v>
      </c>
      <c r="D36" s="590">
        <v>0</v>
      </c>
      <c r="E36" s="537" t="s">
        <v>7</v>
      </c>
      <c r="G36" s="590">
        <v>0</v>
      </c>
      <c r="H36" s="537" t="s">
        <v>7</v>
      </c>
      <c r="I36" s="569" t="s">
        <v>565</v>
      </c>
      <c r="J36" s="641">
        <f t="shared" si="2"/>
        <v>0</v>
      </c>
      <c r="K36" s="641">
        <f t="shared" si="3"/>
        <v>0</v>
      </c>
      <c r="N36" s="569" t="s">
        <v>116</v>
      </c>
      <c r="O36" s="596">
        <f>X36</f>
        <v>0</v>
      </c>
      <c r="P36" s="596"/>
      <c r="Q36" s="596">
        <f>AD36</f>
        <v>0</v>
      </c>
      <c r="R36" s="591"/>
      <c r="U36" s="569" t="s">
        <v>394</v>
      </c>
      <c r="V36" s="598">
        <f>IF(V17&lt;V24,0,V17-V24)</f>
        <v>0</v>
      </c>
      <c r="W36" s="652">
        <f t="shared" si="7"/>
        <v>0.45</v>
      </c>
      <c r="X36" s="600">
        <f t="shared" si="8"/>
        <v>0</v>
      </c>
      <c r="Z36" s="569" t="s">
        <v>394</v>
      </c>
      <c r="AB36" s="598">
        <f>IF(AB17&lt;AB24,0,AB17-AB24)</f>
        <v>0</v>
      </c>
      <c r="AC36" s="652">
        <f t="shared" si="9"/>
        <v>0.45</v>
      </c>
      <c r="AD36" s="600">
        <f t="shared" si="4"/>
        <v>0</v>
      </c>
    </row>
    <row r="37" spans="1:30" ht="12.75" customHeight="1" thickBot="1">
      <c r="A37" s="29" t="s">
        <v>46</v>
      </c>
      <c r="B37" s="538">
        <v>0.5</v>
      </c>
      <c r="C37" s="569" t="s">
        <v>565</v>
      </c>
      <c r="D37" s="590">
        <v>0</v>
      </c>
      <c r="E37" s="537" t="s">
        <v>7</v>
      </c>
      <c r="G37" s="590">
        <v>0</v>
      </c>
      <c r="H37" s="537" t="s">
        <v>7</v>
      </c>
      <c r="I37" s="569" t="s">
        <v>565</v>
      </c>
      <c r="J37" s="641">
        <f t="shared" si="2"/>
        <v>0</v>
      </c>
      <c r="K37" s="641">
        <f t="shared" si="3"/>
        <v>0</v>
      </c>
      <c r="V37" s="598">
        <f>SUM(V33:V36)</f>
        <v>0</v>
      </c>
      <c r="X37" s="665">
        <f>SUM(X33:X36)</f>
        <v>0</v>
      </c>
      <c r="AB37" s="598">
        <f>SUM(AB33:AB36)</f>
        <v>0</v>
      </c>
      <c r="AD37" s="665">
        <f>SUM(AD33:AD36)</f>
        <v>0</v>
      </c>
    </row>
    <row r="38" spans="1:30" ht="12.75" customHeight="1" thickTop="1">
      <c r="A38" s="29"/>
      <c r="B38" s="538"/>
      <c r="U38" s="581"/>
      <c r="V38" s="581"/>
      <c r="W38" s="581"/>
      <c r="X38" s="600"/>
      <c r="Y38" s="581"/>
      <c r="Z38" s="581"/>
      <c r="AA38" s="581"/>
      <c r="AB38" s="581"/>
      <c r="AC38" s="591"/>
      <c r="AD38" s="600"/>
    </row>
    <row r="39" spans="1:30" ht="12.75" customHeight="1">
      <c r="A39" s="29" t="s">
        <v>133</v>
      </c>
      <c r="B39" s="538">
        <v>1</v>
      </c>
      <c r="D39" s="590">
        <f>'Income &amp; Committed Expenditure'!B18</f>
        <v>0</v>
      </c>
      <c r="E39" s="537" t="str">
        <f>'Income &amp; Committed Expenditure'!C18</f>
        <v>Annually</v>
      </c>
      <c r="G39" s="590">
        <f>'Income &amp; Committed Expenditure'!E18</f>
        <v>0</v>
      </c>
      <c r="H39" s="537" t="str">
        <f>'Income &amp; Committed Expenditure'!F18</f>
        <v>Annually</v>
      </c>
      <c r="J39" s="641">
        <f>IF(D39="",0,IF(E39="Annually",D39*B39,IF(E39="Monthly",D39*B39*12,D39*B39*52)))</f>
        <v>0</v>
      </c>
      <c r="K39" s="641">
        <f>IF(G39="",0,IF(H39="Annually",G39*B39,IF(H39="Monthly",G39*B39*12,G39*B39*52)))</f>
        <v>0</v>
      </c>
      <c r="U39" s="574" t="s">
        <v>857</v>
      </c>
      <c r="V39" s="581"/>
      <c r="W39" s="581"/>
      <c r="X39" s="600"/>
      <c r="Y39" s="581"/>
      <c r="Z39" s="574" t="s">
        <v>857</v>
      </c>
      <c r="AA39" s="581"/>
      <c r="AB39" s="581"/>
      <c r="AC39" s="591"/>
      <c r="AD39" s="600"/>
    </row>
    <row r="40" spans="1:30" ht="12.75" customHeight="1">
      <c r="A40" s="29" t="s">
        <v>134</v>
      </c>
      <c r="B40" s="538">
        <v>1</v>
      </c>
      <c r="D40" s="590">
        <f>'Income &amp; Committed Expenditure'!B19</f>
        <v>0</v>
      </c>
      <c r="E40" s="537" t="str">
        <f>'Income &amp; Committed Expenditure'!C19</f>
        <v>Annually</v>
      </c>
      <c r="G40" s="590">
        <f>'Income &amp; Committed Expenditure'!E19</f>
        <v>0</v>
      </c>
      <c r="H40" s="537" t="str">
        <f>'Income &amp; Committed Expenditure'!F19</f>
        <v>Annually</v>
      </c>
      <c r="J40" s="641">
        <f>IF(D40="",0,IF(E40="Annually",D40*B40,IF(E40="Monthly",D40*B40*12,D40*B40*52)))</f>
        <v>0</v>
      </c>
      <c r="K40" s="641">
        <f>IF(G40="",0,IF(H40="Annually",G40*B40,IF(H40="Monthly",G40*B40*12,G40*B40*52)))</f>
        <v>0</v>
      </c>
      <c r="N40" s="575" t="s">
        <v>29</v>
      </c>
      <c r="O40" s="596"/>
      <c r="P40" s="596"/>
      <c r="Q40" s="596"/>
      <c r="S40" s="581"/>
      <c r="U40" s="569" t="s">
        <v>396</v>
      </c>
      <c r="V40" s="598">
        <f>IF(V18=0,0,IF(V33&gt;=V29,0,IF(V19&lt;V29,V19-V33,V29-V33)))</f>
        <v>0</v>
      </c>
      <c r="W40" s="647">
        <v>0</v>
      </c>
      <c r="X40" s="600">
        <f>W40*V40</f>
        <v>0</v>
      </c>
      <c r="Z40" s="569" t="s">
        <v>396</v>
      </c>
      <c r="AB40" s="598">
        <f>IF(AB18=0,0,IF(AB33&gt;=AB29,0,IF(AB19&lt;AB29,AB19-AB33,AB29-AB33)))</f>
        <v>0</v>
      </c>
      <c r="AC40" s="647">
        <v>0</v>
      </c>
      <c r="AD40" s="600">
        <f>AC40*AB40</f>
        <v>0</v>
      </c>
    </row>
    <row r="41" spans="1:30" ht="12.75" customHeight="1">
      <c r="A41" s="29" t="s">
        <v>135</v>
      </c>
      <c r="B41" s="538">
        <v>1</v>
      </c>
      <c r="C41" s="569" t="s">
        <v>565</v>
      </c>
      <c r="D41" s="590">
        <v>0</v>
      </c>
      <c r="E41" s="537" t="s">
        <v>7</v>
      </c>
      <c r="G41" s="590">
        <v>0</v>
      </c>
      <c r="H41" s="537" t="s">
        <v>7</v>
      </c>
      <c r="I41" s="569" t="s">
        <v>565</v>
      </c>
      <c r="J41" s="641">
        <f>IF(D41="",0,IF(E41="Annually",D41*B41,IF(E41="Monthly",D41*B41*12,D41*B41*52)))</f>
        <v>0</v>
      </c>
      <c r="K41" s="641">
        <f>IF(G41="",0,IF(H41="Annually",G41*B41,IF(H41="Monthly",G41*B41*12,G41*B41*52)))</f>
        <v>0</v>
      </c>
      <c r="N41" s="574"/>
      <c r="O41" s="596"/>
      <c r="P41" s="596"/>
      <c r="Q41" s="596"/>
      <c r="S41" s="581"/>
      <c r="U41" s="569" t="s">
        <v>858</v>
      </c>
      <c r="V41" s="598">
        <f>V22</f>
        <v>500</v>
      </c>
      <c r="W41" s="647">
        <v>0</v>
      </c>
      <c r="X41" s="600">
        <f>W41*V41</f>
        <v>0</v>
      </c>
      <c r="Y41" s="581"/>
      <c r="Z41" s="569" t="s">
        <v>858</v>
      </c>
      <c r="AA41" s="581"/>
      <c r="AB41" s="598">
        <f>AB22</f>
        <v>500</v>
      </c>
      <c r="AC41" s="647">
        <v>0</v>
      </c>
      <c r="AD41" s="600">
        <f>AC41*AB41</f>
        <v>0</v>
      </c>
    </row>
    <row r="42" spans="1:30" ht="12.75" customHeight="1">
      <c r="A42" s="29" t="s">
        <v>135</v>
      </c>
      <c r="B42" s="538">
        <v>0.5</v>
      </c>
      <c r="C42" s="569" t="s">
        <v>565</v>
      </c>
      <c r="D42" s="590">
        <v>0</v>
      </c>
      <c r="E42" s="537" t="s">
        <v>7</v>
      </c>
      <c r="G42" s="590">
        <v>0</v>
      </c>
      <c r="H42" s="537" t="s">
        <v>7</v>
      </c>
      <c r="I42" s="569" t="s">
        <v>565</v>
      </c>
      <c r="J42" s="641">
        <f>IF(D42="",0,IF(E42="Annually",D42*B42,IF(E42="Monthly",D42*B42*12,D42*B42*52)))</f>
        <v>0</v>
      </c>
      <c r="K42" s="641">
        <f>IF(G42="",0,IF(H42="Annually",G42*B42,IF(H42="Monthly",G42*B42*12,G42*B42*52)))</f>
        <v>0</v>
      </c>
      <c r="L42" s="569" t="s">
        <v>26</v>
      </c>
      <c r="N42" s="569" t="s">
        <v>147</v>
      </c>
      <c r="O42" s="591">
        <f>IF(D9="No",O31+O32,0)</f>
        <v>0</v>
      </c>
      <c r="P42" s="591"/>
      <c r="Q42" s="591">
        <f>IF(G9="No",Q31+Q32,0)</f>
        <v>0</v>
      </c>
      <c r="S42" s="581"/>
      <c r="U42" s="569" t="s">
        <v>408</v>
      </c>
      <c r="V42" s="598">
        <f>IF(V18=0,0,IF(V18&lt;=V41+V40,0,IF(V34&gt;=V23,0,IF(V23-V34&lt;V18-V41-V40,V23-V34-V22,V18-V41-V40))))</f>
        <v>0</v>
      </c>
      <c r="W42" s="647">
        <f>X23</f>
        <v>8.7499999999999994E-2</v>
      </c>
      <c r="X42" s="600">
        <f>W42*V42</f>
        <v>0</v>
      </c>
      <c r="Z42" s="569" t="s">
        <v>408</v>
      </c>
      <c r="AB42" s="598">
        <f>IF(AB18=0,0,IF(AB18&lt;=AB41+AB40,0,IF(AB34&gt;=AB23,0,IF(AB23-AB34&lt;AB18-AB41-AB40,AB23-AB34-AB22,AB18-AB41-AB40))))</f>
        <v>0</v>
      </c>
      <c r="AC42" s="647">
        <f>AD23</f>
        <v>8.7499999999999994E-2</v>
      </c>
      <c r="AD42" s="600">
        <f>AC42*AB42</f>
        <v>0</v>
      </c>
    </row>
    <row r="43" spans="1:30" ht="12.75" customHeight="1">
      <c r="A43" s="29" t="s">
        <v>397</v>
      </c>
      <c r="B43" s="538">
        <v>1</v>
      </c>
      <c r="C43" s="569" t="s">
        <v>565</v>
      </c>
      <c r="D43" s="590">
        <v>0</v>
      </c>
      <c r="E43" s="537" t="s">
        <v>7</v>
      </c>
      <c r="G43" s="590">
        <v>0</v>
      </c>
      <c r="H43" s="537" t="s">
        <v>7</v>
      </c>
      <c r="I43" s="569" t="s">
        <v>565</v>
      </c>
      <c r="J43" s="641">
        <f>IF(D43="",0,IF(E43="Annually",D43*B43,IF(E43="Monthly",D43*B43*12,D43*B43*52)))</f>
        <v>0</v>
      </c>
      <c r="K43" s="641">
        <f>IF(G43="",0,IF(H43="Annually",G43*B43,IF(H43="Monthly",G43*B43*12,G43*B43*52)))</f>
        <v>0</v>
      </c>
      <c r="N43" s="569" t="s">
        <v>398</v>
      </c>
      <c r="O43" s="591">
        <f>SUM(O34:O36)</f>
        <v>0</v>
      </c>
      <c r="P43" s="591"/>
      <c r="Q43" s="591">
        <f>SUM(Q34:Q36)</f>
        <v>0</v>
      </c>
      <c r="S43" s="569" t="s">
        <v>107</v>
      </c>
      <c r="U43" s="569" t="s">
        <v>409</v>
      </c>
      <c r="V43" s="598">
        <f>IF(V18=0,0,IF(V18&lt;=V42+V41+V40,0,IF(V35+V34=V24,0,IF(V18-V42-V41-V40&lt;V24-V23-V35,V18-V42-V41-V40,IF(V35&gt;0,V24-V23-V22-V35,IF(V19&gt;V24,V24-V23,V24-V23-V35-V22))))))</f>
        <v>0</v>
      </c>
      <c r="W43" s="647">
        <f>X24</f>
        <v>0.33750000000000002</v>
      </c>
      <c r="X43" s="600">
        <f>W43*V43</f>
        <v>0</v>
      </c>
      <c r="Z43" s="569" t="s">
        <v>409</v>
      </c>
      <c r="AB43" s="598">
        <f>IF(AB18=0,0,IF(AB18&lt;=AB42+AB41+AB40,0,IF(AB35+AB34=AB24,0,IF(AB18-AB42-AB41-AB40&lt;AB24-AB23-AB35,AB18-AB42-AB41-AB40,IF(AB35&gt;0,AB24-AB23-AB22-AB35,IF(AB19&gt;AB24,AB24-AB23,AB24-AB23-AB35-AB22))))))</f>
        <v>0</v>
      </c>
      <c r="AC43" s="647">
        <f>AD24</f>
        <v>0.33750000000000002</v>
      </c>
      <c r="AD43" s="600">
        <f>AC43*AB43</f>
        <v>0</v>
      </c>
    </row>
    <row r="44" spans="1:30" ht="12.75" customHeight="1">
      <c r="A44" s="29"/>
      <c r="B44" s="538"/>
      <c r="N44" s="569" t="s">
        <v>399</v>
      </c>
      <c r="O44" s="596">
        <f>X45</f>
        <v>0</v>
      </c>
      <c r="P44" s="596"/>
      <c r="Q44" s="596">
        <f>AD45</f>
        <v>0</v>
      </c>
      <c r="U44" s="569" t="s">
        <v>394</v>
      </c>
      <c r="V44" s="598">
        <f>IF(V18=0,0,IF(V18&lt;=V43+V42+V41+V40,0,V18-V43-V42-V41-V40))</f>
        <v>0</v>
      </c>
      <c r="W44" s="647">
        <f>X25</f>
        <v>0.39350000000000002</v>
      </c>
      <c r="X44" s="600">
        <f>W44*V44</f>
        <v>0</v>
      </c>
      <c r="Z44" s="569" t="s">
        <v>394</v>
      </c>
      <c r="AB44" s="598">
        <f>IF(AB18=0,0,IF(AB18&lt;=AB43+AB42+AB41+AB40,0,AB18-AB43-AB42-AB41-AB40))</f>
        <v>0</v>
      </c>
      <c r="AC44" s="647">
        <f>AD25</f>
        <v>0.39350000000000002</v>
      </c>
      <c r="AD44" s="600">
        <f>AC44*AB44</f>
        <v>0</v>
      </c>
    </row>
    <row r="45" spans="1:30" ht="12.75" customHeight="1" thickBot="1">
      <c r="A45" s="28" t="s">
        <v>179</v>
      </c>
      <c r="B45" s="587"/>
      <c r="L45" s="574"/>
      <c r="N45" s="569" t="s">
        <v>400</v>
      </c>
      <c r="O45" s="591">
        <f>J51+J52</f>
        <v>0</v>
      </c>
      <c r="P45" s="591"/>
      <c r="Q45" s="591">
        <f>K51+K52</f>
        <v>0</v>
      </c>
      <c r="V45" s="598">
        <f>SUM(V40:V44)</f>
        <v>500</v>
      </c>
      <c r="X45" s="665">
        <f>SUM(X40:X44)</f>
        <v>0</v>
      </c>
      <c r="AB45" s="598">
        <f>SUM(AB40:AB44)</f>
        <v>500</v>
      </c>
      <c r="AD45" s="665">
        <f>SUM(AD40:AD44)</f>
        <v>0</v>
      </c>
    </row>
    <row r="46" spans="1:30" ht="12.75" customHeight="1" thickTop="1">
      <c r="A46" s="29" t="s">
        <v>180</v>
      </c>
      <c r="B46" s="538">
        <v>1</v>
      </c>
      <c r="D46" s="588">
        <f>'Income &amp; Committed Expenditure'!B21</f>
        <v>0</v>
      </c>
      <c r="E46" s="537" t="str">
        <f>'Income &amp; Committed Expenditure'!C21</f>
        <v>Monthly</v>
      </c>
      <c r="G46" s="588">
        <f>'Income &amp; Committed Expenditure'!E21</f>
        <v>0</v>
      </c>
      <c r="H46" s="537" t="str">
        <f>'Income &amp; Committed Expenditure'!F21</f>
        <v>Monthly</v>
      </c>
      <c r="J46" s="641">
        <f>IF(D46="",0,IF(E46="Annually",D46*B46,IF(E46="Monthly",D46*B46*12,D46*B46*52)))</f>
        <v>0</v>
      </c>
      <c r="K46" s="641">
        <f>IF(G46="",0,IF(H46="Annually",G46*B46,IF(H46="Monthly",G46*B46*12,G46*B46*52)))</f>
        <v>0</v>
      </c>
      <c r="M46" s="574"/>
      <c r="N46" s="574" t="s">
        <v>61</v>
      </c>
      <c r="O46" s="599">
        <f>SUM(O42:O45)</f>
        <v>0</v>
      </c>
      <c r="P46" s="599"/>
      <c r="Q46" s="599">
        <f>SUM(Q42:Q45)</f>
        <v>0</v>
      </c>
    </row>
    <row r="47" spans="1:30" ht="12.75" customHeight="1">
      <c r="A47" s="29" t="s">
        <v>110</v>
      </c>
      <c r="B47" s="538">
        <v>1</v>
      </c>
      <c r="D47" s="588">
        <f>'Income &amp; Committed Expenditure'!B22</f>
        <v>0</v>
      </c>
      <c r="E47" s="537" t="str">
        <f>'Income &amp; Committed Expenditure'!C22</f>
        <v>Monthly</v>
      </c>
      <c r="G47" s="588">
        <f>'Income &amp; Committed Expenditure'!E22</f>
        <v>0</v>
      </c>
      <c r="H47" s="537" t="str">
        <f>'Income &amp; Committed Expenditure'!F22</f>
        <v>Monthly</v>
      </c>
      <c r="J47" s="641">
        <f>IF(D47="",0,IF(E47="Annually",D47*B47,IF(E47="Monthly",D47*B47*12,D47*B47*52)))</f>
        <v>0</v>
      </c>
      <c r="K47" s="641">
        <f>IF(G47="",0,IF(H47="Annually",G47*B47,IF(H47="Monthly",G47*B47*12,G47*B47*52)))</f>
        <v>0</v>
      </c>
      <c r="O47" s="591"/>
      <c r="P47" s="591"/>
      <c r="Q47" s="591"/>
    </row>
    <row r="48" spans="1:30" ht="12.75" customHeight="1">
      <c r="A48" s="29" t="s">
        <v>28</v>
      </c>
      <c r="B48" s="538">
        <v>1</v>
      </c>
      <c r="D48" s="588">
        <f>'Income &amp; Committed Expenditure'!B23</f>
        <v>0</v>
      </c>
      <c r="E48" s="537" t="str">
        <f>'Income &amp; Committed Expenditure'!C23</f>
        <v>Monthly</v>
      </c>
      <c r="G48" s="588">
        <f>'Income &amp; Committed Expenditure'!E23</f>
        <v>0</v>
      </c>
      <c r="H48" s="537" t="str">
        <f>'Income &amp; Committed Expenditure'!F23</f>
        <v>Monthly</v>
      </c>
      <c r="J48" s="641">
        <f>IF(D48="",0,IF(E48="Annually",D48*B48,IF(E48="Monthly",D48*B48*12,D48*B48*52)))</f>
        <v>0</v>
      </c>
      <c r="K48" s="641">
        <f>IF(G48="",0,IF(H48="Annually",G48*B48,IF(H48="Monthly",G48*B48*12,G48*B48*52)))</f>
        <v>0</v>
      </c>
    </row>
    <row r="49" spans="1:19" ht="12.75" customHeight="1">
      <c r="A49" s="29"/>
      <c r="B49" s="538"/>
      <c r="N49" s="569" t="s">
        <v>401</v>
      </c>
      <c r="O49" s="591">
        <f>SUM(O18-O46)</f>
        <v>0</v>
      </c>
      <c r="P49" s="591"/>
      <c r="Q49" s="591">
        <f>SUM(Q18-Q46)</f>
        <v>0</v>
      </c>
    </row>
    <row r="50" spans="1:19" ht="12.75" customHeight="1">
      <c r="A50" s="28" t="s">
        <v>178</v>
      </c>
      <c r="B50" s="587"/>
      <c r="D50" s="601"/>
      <c r="G50" s="601"/>
      <c r="N50" s="595"/>
      <c r="P50" s="591"/>
      <c r="Q50" s="591"/>
    </row>
    <row r="51" spans="1:19" ht="12.75" customHeight="1">
      <c r="A51" s="29" t="s">
        <v>109</v>
      </c>
      <c r="B51" s="538">
        <v>1</v>
      </c>
      <c r="D51" s="590">
        <f>'Income &amp; Committed Expenditure'!B25</f>
        <v>0</v>
      </c>
      <c r="E51" s="537" t="str">
        <f>'Income &amp; Committed Expenditure'!C25</f>
        <v>Monthly</v>
      </c>
      <c r="G51" s="590">
        <f>'Income &amp; Committed Expenditure'!E25</f>
        <v>0</v>
      </c>
      <c r="H51" s="537" t="str">
        <f>'Income &amp; Committed Expenditure'!F25</f>
        <v>Monthly</v>
      </c>
      <c r="J51" s="641">
        <f>IF(D51="",0,IF(E51="Annually",D51*B51,IF(E51="Monthly",D51*B51*12,D51*B51*52)))</f>
        <v>0</v>
      </c>
      <c r="K51" s="641">
        <f>IF(G51="",0,IF(H51="Annually",G51*B51,IF(H51="Monthly",G51*B51*12,G51*B51*52)))</f>
        <v>0</v>
      </c>
      <c r="N51" s="569" t="s">
        <v>30</v>
      </c>
      <c r="O51" s="581">
        <f>SUM(O49/12)</f>
        <v>0</v>
      </c>
      <c r="Q51" s="591">
        <f>SUM(Q49/12)</f>
        <v>0</v>
      </c>
    </row>
    <row r="52" spans="1:19" ht="12.75" customHeight="1">
      <c r="A52" s="29" t="s">
        <v>28</v>
      </c>
      <c r="B52" s="538">
        <v>1</v>
      </c>
      <c r="D52" s="590">
        <f>'Income &amp; Committed Expenditure'!B26</f>
        <v>0</v>
      </c>
      <c r="E52" s="537" t="str">
        <f>'Income &amp; Committed Expenditure'!C26</f>
        <v>Monthly</v>
      </c>
      <c r="G52" s="590">
        <f>'Income &amp; Committed Expenditure'!E26</f>
        <v>0</v>
      </c>
      <c r="H52" s="537" t="str">
        <f>'Income &amp; Committed Expenditure'!F26</f>
        <v>Monthly</v>
      </c>
      <c r="J52" s="641">
        <f>IF(D52="",0,IF(E52="Annually",D52*B52,IF(E52="Monthly",D52*B52*12,D52*B52*52)))</f>
        <v>0</v>
      </c>
      <c r="K52" s="641">
        <f>IF(G52="",0,IF(H52="Annually",G52*B52,IF(H52="Monthly",G52*B52*12,G52*B52*52)))</f>
        <v>0</v>
      </c>
      <c r="N52" s="595"/>
      <c r="O52" s="591"/>
      <c r="P52" s="591"/>
      <c r="Q52" s="591"/>
    </row>
    <row r="53" spans="1:19" ht="12.75" customHeight="1"/>
    <row r="54" spans="1:19" ht="12.75" customHeight="1">
      <c r="A54" s="29" t="s">
        <v>401</v>
      </c>
      <c r="D54" s="581">
        <f>O49</f>
        <v>0</v>
      </c>
      <c r="E54" s="569" t="s">
        <v>50</v>
      </c>
      <c r="G54" s="581">
        <f>Q49</f>
        <v>0</v>
      </c>
      <c r="H54" s="569" t="s">
        <v>50</v>
      </c>
      <c r="N54" s="595"/>
      <c r="O54" s="591"/>
      <c r="P54" s="591"/>
      <c r="Q54" s="591"/>
    </row>
    <row r="55" spans="1:19" ht="12.75" customHeight="1">
      <c r="N55" s="595"/>
      <c r="O55" s="591"/>
      <c r="P55" s="591"/>
      <c r="Q55" s="591"/>
    </row>
    <row r="56" spans="1:19" ht="12.75" customHeight="1">
      <c r="A56" s="29" t="s">
        <v>30</v>
      </c>
      <c r="B56" s="587"/>
      <c r="D56" s="591">
        <f>O51</f>
        <v>0</v>
      </c>
      <c r="E56" s="569" t="s">
        <v>7</v>
      </c>
      <c r="G56" s="591">
        <f>Q51</f>
        <v>0</v>
      </c>
      <c r="H56" s="569" t="str">
        <f>E56</f>
        <v>Monthly</v>
      </c>
      <c r="M56" s="575"/>
      <c r="N56" s="595"/>
      <c r="O56" s="591"/>
      <c r="P56" s="591"/>
      <c r="Q56" s="591"/>
    </row>
    <row r="57" spans="1:19" ht="12.75" customHeight="1">
      <c r="N57" s="595"/>
      <c r="O57" s="591"/>
      <c r="P57" s="591"/>
      <c r="Q57" s="591"/>
    </row>
    <row r="58" spans="1:19" ht="12.75" customHeight="1">
      <c r="A58" s="1192" t="s">
        <v>402</v>
      </c>
      <c r="B58" s="1192"/>
      <c r="C58" s="1192"/>
      <c r="D58" s="1192"/>
      <c r="E58" s="1192"/>
      <c r="F58" s="1192"/>
      <c r="G58" s="1192"/>
      <c r="H58" s="1192"/>
      <c r="O58" s="1193"/>
      <c r="P58" s="1194"/>
      <c r="Q58" s="1194"/>
    </row>
    <row r="59" spans="1:19" ht="12.75" customHeight="1">
      <c r="O59" s="591"/>
    </row>
    <row r="60" spans="1:19">
      <c r="A60" s="602" t="s">
        <v>108</v>
      </c>
      <c r="B60" s="587"/>
      <c r="D60" s="601"/>
      <c r="G60" s="601"/>
      <c r="M60" s="1195" t="s">
        <v>403</v>
      </c>
      <c r="N60" s="1196"/>
      <c r="O60" s="603"/>
      <c r="P60" s="591"/>
      <c r="Q60" s="603"/>
    </row>
    <row r="61" spans="1:19">
      <c r="A61" s="30" t="s">
        <v>882</v>
      </c>
      <c r="B61" s="538">
        <v>1</v>
      </c>
      <c r="D61" s="590">
        <f>'Income &amp; Committed Expenditure'!B28</f>
        <v>0</v>
      </c>
      <c r="E61" s="569" t="s">
        <v>7</v>
      </c>
      <c r="G61" s="590">
        <f>'Income &amp; Committed Expenditure'!E28</f>
        <v>0</v>
      </c>
      <c r="H61" s="569" t="s">
        <v>7</v>
      </c>
      <c r="J61" s="641">
        <f t="shared" ref="J61:J69" si="10">IF(D61="",0,IF(E61="Annually",D61*B61,IF(E61="Monthly",D61*B61*12,D61*B61*52)))</f>
        <v>0</v>
      </c>
      <c r="K61" s="641">
        <f t="shared" ref="K61:K69" si="11">IF(G61="",0,IF(H61="Annually",G61*B61,IF(H61="Monthly",G61*B61*12,G61*B61*52)))</f>
        <v>0</v>
      </c>
      <c r="M61" s="1197"/>
      <c r="N61" s="1198"/>
      <c r="Q61" s="591"/>
    </row>
    <row r="62" spans="1:19">
      <c r="A62" s="30" t="s">
        <v>882</v>
      </c>
      <c r="B62" s="538">
        <v>0.5</v>
      </c>
      <c r="D62" s="590">
        <f>'Income &amp; Committed Expenditure'!B29</f>
        <v>0</v>
      </c>
      <c r="E62" s="569" t="s">
        <v>7</v>
      </c>
      <c r="G62" s="590">
        <f>'Income &amp; Committed Expenditure'!E29</f>
        <v>0</v>
      </c>
      <c r="H62" s="569" t="s">
        <v>7</v>
      </c>
      <c r="J62" s="641">
        <f t="shared" si="10"/>
        <v>0</v>
      </c>
      <c r="K62" s="641">
        <f t="shared" si="11"/>
        <v>0</v>
      </c>
      <c r="M62" s="1197"/>
      <c r="N62" s="1198"/>
      <c r="Q62" s="591"/>
    </row>
    <row r="63" spans="1:19">
      <c r="A63" s="29" t="s">
        <v>41</v>
      </c>
      <c r="B63" s="538">
        <v>1</v>
      </c>
      <c r="C63" s="569" t="s">
        <v>565</v>
      </c>
      <c r="D63" s="590">
        <v>0</v>
      </c>
      <c r="E63" s="569" t="s">
        <v>7</v>
      </c>
      <c r="G63" s="590">
        <v>0</v>
      </c>
      <c r="H63" s="569" t="s">
        <v>7</v>
      </c>
      <c r="I63" s="569" t="s">
        <v>565</v>
      </c>
      <c r="J63" s="641">
        <f t="shared" si="10"/>
        <v>0</v>
      </c>
      <c r="K63" s="641">
        <f t="shared" si="11"/>
        <v>0</v>
      </c>
      <c r="M63" s="1197"/>
      <c r="N63" s="1198"/>
      <c r="P63" s="604"/>
      <c r="Q63" s="605" t="s">
        <v>418</v>
      </c>
      <c r="R63" s="606"/>
      <c r="S63" s="607"/>
    </row>
    <row r="64" spans="1:19" ht="12.75" customHeight="1">
      <c r="A64" s="29" t="s">
        <v>42</v>
      </c>
      <c r="B64" s="538">
        <v>1</v>
      </c>
      <c r="C64" s="569" t="s">
        <v>565</v>
      </c>
      <c r="D64" s="590">
        <v>0</v>
      </c>
      <c r="E64" s="569" t="s">
        <v>7</v>
      </c>
      <c r="G64" s="590">
        <v>0</v>
      </c>
      <c r="H64" s="569" t="s">
        <v>7</v>
      </c>
      <c r="I64" s="569" t="s">
        <v>565</v>
      </c>
      <c r="J64" s="641">
        <f t="shared" si="10"/>
        <v>0</v>
      </c>
      <c r="K64" s="641">
        <f t="shared" si="11"/>
        <v>0</v>
      </c>
      <c r="M64" s="1199"/>
      <c r="N64" s="1200"/>
      <c r="P64" s="608"/>
      <c r="S64" s="609"/>
    </row>
    <row r="65" spans="1:31" ht="15">
      <c r="A65" s="29" t="s">
        <v>42</v>
      </c>
      <c r="B65" s="538">
        <v>0.5</v>
      </c>
      <c r="C65" s="569" t="s">
        <v>565</v>
      </c>
      <c r="D65" s="590">
        <v>0</v>
      </c>
      <c r="E65" s="569" t="s">
        <v>7</v>
      </c>
      <c r="G65" s="590">
        <v>0</v>
      </c>
      <c r="H65" s="569" t="s">
        <v>7</v>
      </c>
      <c r="I65" s="569" t="s">
        <v>565</v>
      </c>
      <c r="J65" s="641">
        <f t="shared" si="10"/>
        <v>0</v>
      </c>
      <c r="K65" s="641">
        <f t="shared" si="11"/>
        <v>0</v>
      </c>
      <c r="P65" s="608"/>
      <c r="Q65" s="610" t="s">
        <v>419</v>
      </c>
      <c r="S65" s="611" t="s">
        <v>420</v>
      </c>
    </row>
    <row r="66" spans="1:31">
      <c r="A66" s="29" t="s">
        <v>19</v>
      </c>
      <c r="B66" s="538">
        <v>1</v>
      </c>
      <c r="C66" s="569" t="s">
        <v>565</v>
      </c>
      <c r="D66" s="590">
        <v>0</v>
      </c>
      <c r="E66" s="569" t="s">
        <v>7</v>
      </c>
      <c r="G66" s="590">
        <v>0</v>
      </c>
      <c r="H66" s="569" t="s">
        <v>7</v>
      </c>
      <c r="I66" s="569" t="s">
        <v>565</v>
      </c>
      <c r="J66" s="641">
        <f t="shared" si="10"/>
        <v>0</v>
      </c>
      <c r="K66" s="641">
        <f t="shared" si="11"/>
        <v>0</v>
      </c>
      <c r="M66" s="1191" t="s">
        <v>373</v>
      </c>
      <c r="N66" s="1191"/>
      <c r="P66" s="608" t="s">
        <v>421</v>
      </c>
      <c r="Q66" s="374">
        <f>O20</f>
        <v>0</v>
      </c>
      <c r="S66" s="612">
        <f>Q20</f>
        <v>0</v>
      </c>
    </row>
    <row r="67" spans="1:31">
      <c r="A67" s="29" t="s">
        <v>97</v>
      </c>
      <c r="B67" s="538">
        <v>1</v>
      </c>
      <c r="C67" s="569" t="s">
        <v>565</v>
      </c>
      <c r="D67" s="590">
        <v>0</v>
      </c>
      <c r="E67" s="569" t="s">
        <v>7</v>
      </c>
      <c r="G67" s="590">
        <v>0</v>
      </c>
      <c r="H67" s="569" t="s">
        <v>7</v>
      </c>
      <c r="I67" s="569" t="s">
        <v>565</v>
      </c>
      <c r="J67" s="641">
        <f t="shared" si="10"/>
        <v>0</v>
      </c>
      <c r="K67" s="641">
        <f t="shared" si="11"/>
        <v>0</v>
      </c>
      <c r="M67" s="1191"/>
      <c r="N67" s="1191"/>
      <c r="P67" s="608" t="s">
        <v>422</v>
      </c>
      <c r="Q67" s="374">
        <f>SUM(O42:O43)</f>
        <v>0</v>
      </c>
      <c r="S67" s="612">
        <f>SUM(Q42:Q43)</f>
        <v>0</v>
      </c>
    </row>
    <row r="68" spans="1:31">
      <c r="A68" s="29" t="s">
        <v>43</v>
      </c>
      <c r="B68" s="538">
        <v>1</v>
      </c>
      <c r="C68" s="569" t="s">
        <v>565</v>
      </c>
      <c r="D68" s="590">
        <v>0</v>
      </c>
      <c r="E68" s="569" t="s">
        <v>7</v>
      </c>
      <c r="G68" s="590">
        <v>0</v>
      </c>
      <c r="H68" s="569" t="s">
        <v>7</v>
      </c>
      <c r="I68" s="569" t="s">
        <v>565</v>
      </c>
      <c r="J68" s="641">
        <f t="shared" si="10"/>
        <v>0</v>
      </c>
      <c r="K68" s="641">
        <f t="shared" si="11"/>
        <v>0</v>
      </c>
      <c r="M68" s="1191"/>
      <c r="N68" s="1191"/>
      <c r="P68" s="613" t="s">
        <v>423</v>
      </c>
      <c r="Q68" s="374">
        <f>SUM(Q66-Q67)</f>
        <v>0</v>
      </c>
      <c r="S68" s="614">
        <f>SUM(S66-S67)</f>
        <v>0</v>
      </c>
    </row>
    <row r="69" spans="1:31">
      <c r="A69" s="29" t="s">
        <v>404</v>
      </c>
      <c r="B69" s="538">
        <v>0.5</v>
      </c>
      <c r="C69" s="569" t="s">
        <v>565</v>
      </c>
      <c r="D69" s="590">
        <v>0</v>
      </c>
      <c r="E69" s="569" t="s">
        <v>7</v>
      </c>
      <c r="G69" s="590">
        <v>0</v>
      </c>
      <c r="H69" s="569" t="s">
        <v>7</v>
      </c>
      <c r="I69" s="569" t="s">
        <v>565</v>
      </c>
      <c r="J69" s="641">
        <f t="shared" si="10"/>
        <v>0</v>
      </c>
      <c r="K69" s="641">
        <f t="shared" si="11"/>
        <v>0</v>
      </c>
      <c r="M69" s="1191"/>
      <c r="N69" s="1191"/>
      <c r="P69" s="608"/>
      <c r="S69" s="609"/>
    </row>
    <row r="70" spans="1:31">
      <c r="D70" s="601"/>
      <c r="G70" s="601"/>
      <c r="M70" s="1191"/>
      <c r="N70" s="1191"/>
      <c r="P70" s="613" t="s">
        <v>390</v>
      </c>
      <c r="Q70" s="374">
        <f>O22</f>
        <v>0</v>
      </c>
      <c r="R70" s="615"/>
      <c r="S70" s="612">
        <f>Q22</f>
        <v>0</v>
      </c>
    </row>
    <row r="71" spans="1:31">
      <c r="A71" s="574" t="s">
        <v>230</v>
      </c>
      <c r="D71" s="591">
        <f>SUMPRODUCT(B61:B69,D61:D69)</f>
        <v>0</v>
      </c>
      <c r="E71" s="569" t="s">
        <v>7</v>
      </c>
      <c r="F71" s="585"/>
      <c r="G71" s="591">
        <f>SUMPRODUCT(B61:B69,G61:G69)</f>
        <v>0</v>
      </c>
      <c r="H71" s="569" t="s">
        <v>7</v>
      </c>
      <c r="M71" s="1191"/>
      <c r="N71" s="1191"/>
      <c r="P71" s="608" t="s">
        <v>424</v>
      </c>
      <c r="Q71" s="374">
        <f>O44</f>
        <v>0</v>
      </c>
      <c r="S71" s="612">
        <f>Q44</f>
        <v>0</v>
      </c>
      <c r="AE71" s="569" t="s">
        <v>26</v>
      </c>
    </row>
    <row r="72" spans="1:31">
      <c r="D72" s="601"/>
      <c r="G72" s="601"/>
      <c r="M72" s="1191"/>
      <c r="N72" s="1191"/>
      <c r="P72" s="608" t="s">
        <v>425</v>
      </c>
      <c r="Q72" s="616">
        <f>SUM(Q70-Q71)</f>
        <v>0</v>
      </c>
      <c r="S72" s="614">
        <f>SUM(S70-S71)</f>
        <v>0</v>
      </c>
    </row>
    <row r="73" spans="1:31">
      <c r="A73" s="569" t="s">
        <v>231</v>
      </c>
      <c r="M73" s="1191"/>
      <c r="N73" s="1191"/>
      <c r="P73" s="608"/>
      <c r="S73" s="609"/>
    </row>
    <row r="74" spans="1:31">
      <c r="P74" s="617" t="s">
        <v>426</v>
      </c>
      <c r="Q74" s="618">
        <f>SUM(Q68+Q72)</f>
        <v>0</v>
      </c>
      <c r="R74" s="619"/>
      <c r="S74" s="620">
        <f>SUM(S68+S72)</f>
        <v>0</v>
      </c>
    </row>
    <row r="75" spans="1:31">
      <c r="P75" s="621"/>
    </row>
    <row r="76" spans="1:31" ht="16.8">
      <c r="N76" s="47" t="s">
        <v>405</v>
      </c>
      <c r="O76" s="723" t="s">
        <v>0</v>
      </c>
      <c r="P76" s="641"/>
      <c r="Q76" s="723" t="s">
        <v>1</v>
      </c>
    </row>
    <row r="77" spans="1:31">
      <c r="O77" s="622" t="e">
        <f>IF(O18&lt;=#REF!,0,IF(O18&lt;=#REF!,#REF!,IF(O18&lt;=#REF!,#REF!,#REF!)))</f>
        <v>#REF!</v>
      </c>
      <c r="P77" s="641"/>
      <c r="Q77" s="622" t="e">
        <f>IF(Q18&lt;=#REF!,0,IF(Q18&lt;=#REF!,#REF!,IF(Q18&lt;=#REF!,#REF!,#REF!)))</f>
        <v>#REF!</v>
      </c>
    </row>
    <row r="78" spans="1:31">
      <c r="N78" s="623"/>
      <c r="O78" s="641"/>
      <c r="P78" s="621"/>
      <c r="Q78" s="624"/>
    </row>
    <row r="79" spans="1:31">
      <c r="N79" s="73" t="s">
        <v>406</v>
      </c>
      <c r="O79" s="622" t="e">
        <f>MAX(O77,Q77)</f>
        <v>#REF!</v>
      </c>
      <c r="P79" s="641"/>
      <c r="Q79" s="641"/>
    </row>
    <row r="81" spans="5:19">
      <c r="E81" s="625"/>
      <c r="F81" s="625"/>
    </row>
    <row r="82" spans="5:19">
      <c r="N82" s="569" t="s">
        <v>407</v>
      </c>
      <c r="P82" s="589"/>
      <c r="Q82" s="624"/>
    </row>
    <row r="83" spans="5:19">
      <c r="N83" s="569" t="s">
        <v>408</v>
      </c>
      <c r="O83" s="626">
        <v>0.2</v>
      </c>
      <c r="Q83" s="624"/>
    </row>
    <row r="84" spans="5:19">
      <c r="N84" s="569" t="s">
        <v>409</v>
      </c>
      <c r="O84" s="626">
        <v>0.4</v>
      </c>
      <c r="Q84" s="624"/>
    </row>
    <row r="85" spans="5:19">
      <c r="N85" s="569" t="s">
        <v>394</v>
      </c>
      <c r="O85" s="622">
        <v>0.45</v>
      </c>
    </row>
    <row r="86" spans="5:19">
      <c r="N86" s="569" t="s">
        <v>410</v>
      </c>
      <c r="O86" s="622">
        <v>0.45</v>
      </c>
    </row>
    <row r="87" spans="5:19">
      <c r="O87" s="641"/>
    </row>
    <row r="88" spans="5:19">
      <c r="O88" s="641"/>
    </row>
    <row r="89" spans="5:19">
      <c r="N89" s="569" t="s">
        <v>411</v>
      </c>
      <c r="O89" s="622" t="e">
        <f>IF(O77+Q77=0,O86,O79)</f>
        <v>#REF!</v>
      </c>
    </row>
    <row r="91" spans="5:19">
      <c r="N91" s="569" t="e">
        <f>IF(O77+Q77=0,"Rate of tax applied to profits based on Input figure","Rate of tax applied to profits based on level of Income")</f>
        <v>#REF!</v>
      </c>
      <c r="P91" s="627"/>
      <c r="Q91" s="641"/>
      <c r="R91" s="627"/>
    </row>
    <row r="92" spans="5:19">
      <c r="S92" s="641"/>
    </row>
    <row r="93" spans="5:19">
      <c r="S93" s="624"/>
    </row>
    <row r="95" spans="5:19">
      <c r="R95" s="589"/>
    </row>
    <row r="97" spans="16:17">
      <c r="P97" s="589"/>
      <c r="Q97" s="624"/>
    </row>
    <row r="98" spans="16:17">
      <c r="P98" s="589"/>
      <c r="Q98" s="624"/>
    </row>
    <row r="117" spans="15:16">
      <c r="P117" s="591"/>
    </row>
    <row r="118" spans="15:16">
      <c r="P118" s="591"/>
    </row>
    <row r="119" spans="15:16">
      <c r="P119" s="591"/>
    </row>
    <row r="120" spans="15:16">
      <c r="P120" s="591"/>
    </row>
    <row r="121" spans="15:16">
      <c r="P121" s="591"/>
    </row>
    <row r="122" spans="15:16">
      <c r="P122" s="591"/>
    </row>
    <row r="123" spans="15:16">
      <c r="O123" s="581"/>
      <c r="P123" s="591"/>
    </row>
    <row r="124" spans="15:16">
      <c r="O124" s="581"/>
      <c r="P124" s="591"/>
    </row>
    <row r="125" spans="15:16">
      <c r="O125" s="581"/>
      <c r="P125" s="591"/>
    </row>
    <row r="126" spans="15:16">
      <c r="O126" s="581"/>
      <c r="P126" s="591"/>
    </row>
    <row r="127" spans="15:16">
      <c r="O127" s="591"/>
      <c r="P127" s="591"/>
    </row>
    <row r="128" spans="15:16">
      <c r="O128" s="581"/>
      <c r="P128" s="591"/>
    </row>
    <row r="129" spans="15:16">
      <c r="O129" s="581"/>
      <c r="P129" s="591"/>
    </row>
    <row r="131" spans="15:16">
      <c r="O131" s="581"/>
    </row>
    <row r="132" spans="15:16">
      <c r="O132" s="591"/>
    </row>
  </sheetData>
  <sheetProtection algorithmName="SHA-512" hashValue="EedEDOO+cab2kNg3mhGUYpr1oSaVdX6b4NEW7zCzNd8BZTskkhL5GcxRGEkXgtBDzA/BWElCo4gBnyqDA3hYrA==" saltValue="oZpCScOqRXONIlVl47mYWA==" spinCount="100000" sheet="1" objects="1" scenarios="1"/>
  <mergeCells count="12">
    <mergeCell ref="A2:C2"/>
    <mergeCell ref="A3:C3"/>
    <mergeCell ref="D7:E7"/>
    <mergeCell ref="G7:H7"/>
    <mergeCell ref="D9:E9"/>
    <mergeCell ref="G9:H9"/>
    <mergeCell ref="A58:H58"/>
    <mergeCell ref="O58:Q58"/>
    <mergeCell ref="M60:N64"/>
    <mergeCell ref="M66:N73"/>
    <mergeCell ref="A11:A12"/>
    <mergeCell ref="D11:H11"/>
  </mergeCells>
  <dataValidations count="3">
    <dataValidation type="whole" allowBlank="1" showInputMessage="1" showErrorMessage="1" sqref="D14 G14" xr:uid="{00000000-0002-0000-0300-000000000000}">
      <formula1>0</formula1>
      <formula2>999999</formula2>
    </dataValidation>
    <dataValidation allowBlank="1" showInputMessage="1" showErrorMessage="1" error="Please enter only the numbers from the tax code" sqref="E14 H14" xr:uid="{00000000-0002-0000-0300-000001000000}"/>
    <dataValidation type="list" allowBlank="1" showInputMessage="1" showErrorMessage="1" sqref="E21:E28 H31:H37 E31:E37 E41:E43 H21:H28 H41:H43" xr:uid="{00000000-0002-0000-0300-000002000000}">
      <formula1>$S$11:$S$13</formula1>
    </dataValidation>
  </dataValidations>
  <pageMargins left="0.7" right="0.7" top="0.75" bottom="0.75" header="0.3" footer="0.3"/>
  <pageSetup paperSize="9" scale="6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357"/>
  <sheetViews>
    <sheetView showGridLines="0" topLeftCell="A40" zoomScale="85" zoomScaleNormal="85" zoomScalePageLayoutView="85" workbookViewId="0">
      <selection activeCell="BS32" sqref="BS32"/>
    </sheetView>
  </sheetViews>
  <sheetFormatPr defaultColWidth="9.109375" defaultRowHeight="13.2"/>
  <cols>
    <col min="1" max="2" width="11.33203125" style="37" customWidth="1"/>
    <col min="3" max="3" width="22.6640625" style="37" customWidth="1"/>
    <col min="4" max="4" width="17.44140625" style="142" customWidth="1"/>
    <col min="5" max="5" width="15.44140625" style="37" customWidth="1"/>
    <col min="6" max="6" width="11.33203125" style="41" customWidth="1"/>
    <col min="7" max="7" width="15.33203125" style="41" customWidth="1"/>
    <col min="8" max="8" width="16.33203125" style="41" customWidth="1"/>
    <col min="9" max="9" width="13.6640625" style="37" customWidth="1"/>
    <col min="10" max="10" width="14.109375" style="37" customWidth="1"/>
    <col min="11" max="11" width="2.109375" style="37" customWidth="1"/>
    <col min="12" max="12" width="11.88671875" style="146" hidden="1" customWidth="1"/>
    <col min="13" max="13" width="16.44140625" style="139" hidden="1" customWidth="1"/>
    <col min="14" max="14" width="11.33203125" style="139" hidden="1" customWidth="1"/>
    <col min="15" max="15" width="14.33203125" style="139" hidden="1" customWidth="1"/>
    <col min="16" max="16" width="14.44140625" style="139" hidden="1" customWidth="1"/>
    <col min="17" max="17" width="15.33203125" style="139" hidden="1" customWidth="1"/>
    <col min="18" max="18" width="12.6640625" style="139" hidden="1" customWidth="1"/>
    <col min="19" max="19" width="18.6640625" style="139" hidden="1" customWidth="1"/>
    <col min="20" max="20" width="16.33203125" style="139" hidden="1" customWidth="1"/>
    <col min="21" max="22" width="13.6640625" style="139" hidden="1" customWidth="1"/>
    <col min="23" max="23" width="15.88671875" style="139" hidden="1" customWidth="1"/>
    <col min="24" max="24" width="15.5546875" style="37" customWidth="1"/>
    <col min="25" max="25" width="1.6640625" style="37" customWidth="1"/>
    <col min="26" max="26" width="15.109375" style="37" customWidth="1"/>
    <col min="27" max="29" width="12.6640625" style="37" customWidth="1"/>
    <col min="30" max="30" width="19" style="139" hidden="1" customWidth="1"/>
    <col min="31" max="31" width="14.109375" style="139" hidden="1" customWidth="1"/>
    <col min="32" max="32" width="13.88671875" style="139" hidden="1" customWidth="1"/>
    <col min="33" max="33" width="15.6640625" style="139" hidden="1" customWidth="1"/>
    <col min="34" max="34" width="21.33203125" style="139" hidden="1" customWidth="1"/>
    <col min="35" max="35" width="15.33203125" style="139" hidden="1" customWidth="1"/>
    <col min="36" max="36" width="14.33203125" style="139" hidden="1" customWidth="1"/>
    <col min="37" max="38" width="13.6640625" style="139" hidden="1" customWidth="1"/>
    <col min="39" max="39" width="14" style="139" hidden="1" customWidth="1"/>
    <col min="40" max="40" width="13.33203125" style="139" hidden="1" customWidth="1"/>
    <col min="41" max="41" width="15.33203125" style="139" hidden="1" customWidth="1"/>
    <col min="42" max="42" width="14.33203125" style="139" hidden="1" customWidth="1"/>
    <col min="43" max="43" width="21" style="139" hidden="1" customWidth="1"/>
    <col min="44" max="44" width="13.33203125" style="139" hidden="1" customWidth="1"/>
    <col min="45" max="45" width="15.88671875" style="139" hidden="1" customWidth="1"/>
    <col min="46" max="47" width="16.33203125" style="139" hidden="1" customWidth="1"/>
    <col min="48" max="48" width="12.6640625" style="139" hidden="1" customWidth="1"/>
    <col min="49" max="49" width="13.33203125" style="139" hidden="1" customWidth="1"/>
    <col min="50" max="50" width="12.33203125" style="139" hidden="1" customWidth="1"/>
    <col min="51" max="51" width="13.33203125" style="139" hidden="1" customWidth="1"/>
    <col min="52" max="52" width="14.44140625" style="139" hidden="1" customWidth="1"/>
    <col min="53" max="60" width="12.33203125" style="139" hidden="1" customWidth="1"/>
    <col min="61" max="63" width="15.6640625" style="139" hidden="1" customWidth="1"/>
    <col min="64" max="64" width="13.6640625" style="139" hidden="1" customWidth="1"/>
    <col min="65" max="69" width="15.6640625" style="139" hidden="1" customWidth="1"/>
    <col min="70" max="70" width="12.33203125" style="139" hidden="1" customWidth="1"/>
    <col min="71" max="87" width="9.109375" style="37" customWidth="1"/>
    <col min="88" max="16384" width="9.109375" style="37"/>
  </cols>
  <sheetData>
    <row r="1" spans="1:47">
      <c r="A1" s="1264" t="s">
        <v>752</v>
      </c>
      <c r="B1" s="1264"/>
      <c r="C1" s="1264"/>
      <c r="D1" s="1264"/>
      <c r="E1" s="1264"/>
      <c r="F1" s="1264"/>
      <c r="L1" s="138" t="s">
        <v>5</v>
      </c>
    </row>
    <row r="2" spans="1:47">
      <c r="A2" s="141" t="s">
        <v>20</v>
      </c>
      <c r="B2" s="646"/>
      <c r="E2" s="233"/>
      <c r="F2" s="233"/>
      <c r="G2" s="233"/>
      <c r="L2" s="138" t="s">
        <v>7</v>
      </c>
      <c r="AD2" s="539" t="s">
        <v>836</v>
      </c>
      <c r="AM2" s="146" t="s">
        <v>779</v>
      </c>
      <c r="AN2" s="297" t="e">
        <f>Q67</f>
        <v>#DIV/0!</v>
      </c>
    </row>
    <row r="3" spans="1:47">
      <c r="L3" s="138" t="s">
        <v>13</v>
      </c>
      <c r="AD3" s="139" t="s">
        <v>720</v>
      </c>
      <c r="AF3" s="139">
        <f>'Support borrower Affordability'!AD3</f>
        <v>0</v>
      </c>
      <c r="AH3" s="146" t="s">
        <v>1452</v>
      </c>
      <c r="AM3" s="146" t="s">
        <v>482</v>
      </c>
    </row>
    <row r="4" spans="1:47">
      <c r="A4" s="1246" t="s">
        <v>171</v>
      </c>
      <c r="B4" s="1247"/>
      <c r="C4" s="1248"/>
      <c r="D4" s="1262" t="s">
        <v>657</v>
      </c>
      <c r="E4" s="1169"/>
      <c r="F4" s="1246" t="s">
        <v>16</v>
      </c>
      <c r="G4" s="1248"/>
      <c r="J4" s="43"/>
      <c r="K4" s="43"/>
      <c r="AD4" s="139" t="s">
        <v>721</v>
      </c>
      <c r="AF4" s="139">
        <f>'Support borrower Affordability'!AD4</f>
        <v>0</v>
      </c>
      <c r="AH4" s="146" t="s">
        <v>838</v>
      </c>
      <c r="AM4" s="146" t="s">
        <v>483</v>
      </c>
    </row>
    <row r="5" spans="1:47">
      <c r="A5" s="1226"/>
      <c r="B5" s="1227"/>
      <c r="C5" s="1228"/>
      <c r="D5" s="1263"/>
      <c r="E5" s="1188"/>
      <c r="F5" s="1226"/>
      <c r="G5" s="1242"/>
      <c r="J5" s="40"/>
      <c r="K5" s="40"/>
      <c r="L5" s="294">
        <v>9.9999999999999995E-7</v>
      </c>
      <c r="O5" s="295" t="s">
        <v>542</v>
      </c>
      <c r="P5" s="296">
        <f>AL70</f>
        <v>7.9399999999999998E-2</v>
      </c>
      <c r="R5" s="93" t="s">
        <v>516</v>
      </c>
      <c r="S5" s="736">
        <f>IF(X72="",0,X72)</f>
        <v>0</v>
      </c>
      <c r="AF5" s="139">
        <f>'Support borrower Affordability'!AD5</f>
        <v>0</v>
      </c>
      <c r="AG5" s="1036" t="str">
        <f>IF(B80=0,"",IF(AN2&lt;=80%,AM5,IF(AF5=1,AM4,IF(AF5=0,AM3))))</f>
        <v/>
      </c>
      <c r="AH5" s="107" t="str">
        <f>IF(B80=0,"",IF(AG5=AM3,AH4,IF(AG5=AM4,AH3,IF(AG5=AM5,""))))</f>
        <v/>
      </c>
      <c r="AI5" s="107"/>
      <c r="AJ5" s="107"/>
      <c r="AK5" s="107"/>
      <c r="AL5" s="107"/>
      <c r="AM5" s="146" t="s">
        <v>780</v>
      </c>
    </row>
    <row r="6" spans="1:47">
      <c r="A6" s="43"/>
      <c r="B6" s="40"/>
      <c r="C6" s="40"/>
      <c r="L6" s="145">
        <v>0.1</v>
      </c>
      <c r="X6" s="82"/>
      <c r="AD6" s="539" t="s">
        <v>837</v>
      </c>
    </row>
    <row r="7" spans="1:47">
      <c r="A7" s="43" t="s">
        <v>873</v>
      </c>
      <c r="B7" s="40"/>
      <c r="D7" s="43" t="s">
        <v>911</v>
      </c>
      <c r="F7" s="41" t="s">
        <v>4</v>
      </c>
      <c r="G7" s="557"/>
      <c r="H7" s="557" t="s">
        <v>1456</v>
      </c>
      <c r="L7" s="138" t="s">
        <v>5</v>
      </c>
      <c r="T7" s="147"/>
      <c r="U7" s="147"/>
      <c r="V7" s="147"/>
      <c r="W7" s="147"/>
      <c r="AD7" s="146" t="s">
        <v>719</v>
      </c>
      <c r="AE7" s="139">
        <f>SUM(70-AA10)</f>
        <v>70</v>
      </c>
      <c r="AF7" s="139">
        <f>IF(AE7&lt;C72,1,0)</f>
        <v>0</v>
      </c>
      <c r="AH7" s="146" t="s">
        <v>1451</v>
      </c>
      <c r="AJ7" s="149"/>
      <c r="AK7" s="149"/>
      <c r="AL7" s="149"/>
      <c r="AM7" s="149"/>
      <c r="AN7" s="149"/>
      <c r="AO7" s="149"/>
      <c r="AP7" s="149"/>
      <c r="AQ7" s="149"/>
      <c r="AR7" s="149"/>
    </row>
    <row r="8" spans="1:47">
      <c r="A8" s="43"/>
      <c r="B8" s="40"/>
      <c r="C8" s="40"/>
      <c r="L8" s="138" t="s">
        <v>6</v>
      </c>
      <c r="N8" s="1018" t="s">
        <v>794</v>
      </c>
      <c r="O8" s="1019"/>
      <c r="P8" s="1020">
        <v>5.2200000000000003E-2</v>
      </c>
      <c r="Q8" s="1021" t="s">
        <v>20</v>
      </c>
      <c r="R8" s="1022">
        <v>45449</v>
      </c>
      <c r="T8" s="147"/>
      <c r="U8" s="147"/>
      <c r="V8" s="147"/>
      <c r="W8" s="147"/>
      <c r="X8" s="82" t="s">
        <v>719</v>
      </c>
      <c r="AD8" s="146" t="s">
        <v>754</v>
      </c>
      <c r="AE8" s="139">
        <f>SUM(70-AA19)</f>
        <v>70</v>
      </c>
      <c r="AF8" s="139">
        <f>IF(AE8&lt;C72,1,0)</f>
        <v>0</v>
      </c>
      <c r="AH8" s="146" t="s">
        <v>839</v>
      </c>
      <c r="AJ8" s="149"/>
      <c r="AK8" s="149"/>
      <c r="AL8" s="149"/>
      <c r="AM8" s="149"/>
      <c r="AN8" s="149"/>
      <c r="AO8" s="149"/>
      <c r="AP8" s="149"/>
      <c r="AQ8" s="149"/>
      <c r="AR8" s="149"/>
    </row>
    <row r="9" spans="1:47">
      <c r="A9" s="40" t="s">
        <v>182</v>
      </c>
      <c r="B9" s="37" t="s">
        <v>0</v>
      </c>
      <c r="C9" s="155">
        <f>'Occupy borrower(s) Income'!D56</f>
        <v>0</v>
      </c>
      <c r="F9" s="38" t="str">
        <f>'Occupy borrower(s) Income'!E56</f>
        <v>Monthly</v>
      </c>
      <c r="H9" s="1184" t="s">
        <v>767</v>
      </c>
      <c r="I9" s="1185"/>
      <c r="L9" s="156">
        <f>IF(F9=$L$2,C9*12,IF(F9=$L$3,C9*52,C9))</f>
        <v>0</v>
      </c>
      <c r="W9" s="150"/>
      <c r="AF9" s="139">
        <f>IF(AF7+AF8&gt;=1,1,0)</f>
        <v>0</v>
      </c>
      <c r="AG9" s="1036" t="str">
        <f>IF(B80=0,"",IF(AN2&lt;=80%,AM5,IF(AF9=1,AM4,IF(AF9=0,AM3))))</f>
        <v/>
      </c>
      <c r="AH9" s="107" t="str">
        <f>IF(B80=0,"",IF(AG9=AM3,AH8,IF(AG9=AM4,AH7,IF(AG9=AM5,""))))</f>
        <v/>
      </c>
      <c r="AI9" s="107"/>
      <c r="AJ9" s="107"/>
      <c r="AK9" s="107"/>
      <c r="AL9" s="107"/>
      <c r="AM9" s="107"/>
    </row>
    <row r="10" spans="1:47">
      <c r="B10" s="37" t="s">
        <v>1</v>
      </c>
      <c r="C10" s="155">
        <f>'Occupy borrower(s) Income'!G56</f>
        <v>0</v>
      </c>
      <c r="F10" s="38" t="str">
        <f>'Occupy borrower(s) Income'!H56</f>
        <v>Monthly</v>
      </c>
      <c r="L10" s="156">
        <f>IF(F10=$L$2,C10*12,IF(F10=$L$3,C10*52,C10))</f>
        <v>0</v>
      </c>
      <c r="X10" s="73" t="s">
        <v>619</v>
      </c>
      <c r="AA10" s="541"/>
      <c r="AB10" s="240" t="str">
        <f>IF(AA10="","&lt;&lt;MUST BE COMPLETED","")</f>
        <v>&lt;&lt;MUST BE COMPLETED</v>
      </c>
      <c r="AD10" s="139" t="s">
        <v>623</v>
      </c>
    </row>
    <row r="11" spans="1:47">
      <c r="B11" s="37" t="s">
        <v>2</v>
      </c>
      <c r="D11" s="158">
        <f>C9+C10</f>
        <v>0</v>
      </c>
      <c r="F11" s="37"/>
      <c r="H11" s="716" t="s">
        <v>872</v>
      </c>
      <c r="I11" s="1023">
        <f>AL70</f>
        <v>7.9399999999999998E-2</v>
      </c>
      <c r="L11" s="156"/>
      <c r="AD11" s="153">
        <f>SUM(AA12-AA10)</f>
        <v>0</v>
      </c>
    </row>
    <row r="12" spans="1:47">
      <c r="A12" s="30"/>
      <c r="D12" s="37"/>
      <c r="F12" s="37"/>
      <c r="G12" s="37"/>
      <c r="L12" s="156">
        <f t="shared" ref="L12:L17" si="0">IF(F12=$L$2,D12*12,IF(F12=$L$3,D12*52,D12))</f>
        <v>0</v>
      </c>
      <c r="M12" s="159" t="s">
        <v>239</v>
      </c>
      <c r="X12" s="73" t="s">
        <v>618</v>
      </c>
      <c r="AA12" s="541"/>
      <c r="AB12" s="240" t="str">
        <f>IF(AA12="","&lt;&lt;MUST BE COMPLETED","")</f>
        <v>&lt;&lt;MUST BE COMPLETED</v>
      </c>
      <c r="AH12" s="298" t="s">
        <v>439</v>
      </c>
      <c r="AI12" s="104"/>
      <c r="AJ12" s="104"/>
      <c r="AK12" s="104"/>
      <c r="AL12" s="104"/>
      <c r="AM12" s="104"/>
    </row>
    <row r="13" spans="1:47">
      <c r="A13" s="30"/>
      <c r="D13" s="37"/>
      <c r="F13" s="37"/>
      <c r="G13" s="37"/>
      <c r="L13" s="156">
        <f t="shared" si="0"/>
        <v>0</v>
      </c>
      <c r="M13" s="159" t="s">
        <v>238</v>
      </c>
      <c r="AD13" s="159" t="s">
        <v>624</v>
      </c>
      <c r="AE13" s="139" t="s">
        <v>145</v>
      </c>
      <c r="AF13" s="147">
        <f>IF(D22&gt;0,0,COUNTIF(Q17:Q24,"Yes"))</f>
        <v>0</v>
      </c>
    </row>
    <row r="14" spans="1:47" ht="14.4">
      <c r="A14" s="30"/>
      <c r="D14" s="37"/>
      <c r="F14" s="37"/>
      <c r="G14" s="37"/>
      <c r="H14" s="173"/>
      <c r="L14" s="156">
        <f t="shared" si="0"/>
        <v>0</v>
      </c>
      <c r="M14" s="159" t="s">
        <v>237</v>
      </c>
      <c r="X14" s="40" t="s">
        <v>714</v>
      </c>
      <c r="AA14" s="542">
        <v>0</v>
      </c>
      <c r="AB14" s="43"/>
      <c r="AD14" s="153">
        <f>SUM(85-AA10)</f>
        <v>85</v>
      </c>
      <c r="AE14" s="153" t="s">
        <v>146</v>
      </c>
      <c r="AF14" s="147">
        <f>D21-AF13</f>
        <v>2</v>
      </c>
      <c r="AG14" s="147"/>
      <c r="AH14" s="163" t="s">
        <v>62</v>
      </c>
      <c r="AI14" s="164"/>
      <c r="AJ14" s="165" t="s">
        <v>63</v>
      </c>
      <c r="AK14" s="166" t="s">
        <v>64</v>
      </c>
      <c r="AL14" s="166" t="s">
        <v>65</v>
      </c>
      <c r="AM14" s="166" t="s">
        <v>66</v>
      </c>
      <c r="AN14" s="166" t="s">
        <v>67</v>
      </c>
      <c r="AO14" s="166" t="s">
        <v>27</v>
      </c>
      <c r="AP14" s="166" t="s">
        <v>68</v>
      </c>
      <c r="AQ14" s="165" t="s">
        <v>69</v>
      </c>
      <c r="AR14" s="166" t="s">
        <v>117</v>
      </c>
      <c r="AS14" s="167" t="s">
        <v>2</v>
      </c>
      <c r="AT14" s="167"/>
      <c r="AU14" s="167"/>
    </row>
    <row r="15" spans="1:47" ht="12.75" customHeight="1">
      <c r="A15" s="559" t="s">
        <v>879</v>
      </c>
      <c r="D15" s="155">
        <f>('Occupy borrower(s) Income'!D61+'Occupy borrower(s) Income'!G61)</f>
        <v>0</v>
      </c>
      <c r="F15" s="38" t="s">
        <v>7</v>
      </c>
      <c r="G15" s="172" t="str">
        <f>IF(D15&gt;0,"No tax has been deducted from this amount","Not applicable")</f>
        <v>Not applicable</v>
      </c>
      <c r="H15" s="173"/>
      <c r="L15" s="156">
        <f t="shared" si="0"/>
        <v>0</v>
      </c>
      <c r="M15" s="146" t="s">
        <v>884</v>
      </c>
      <c r="AA15" s="40" t="s">
        <v>26</v>
      </c>
      <c r="AE15" s="153"/>
      <c r="AF15" s="147"/>
      <c r="AG15" s="147"/>
      <c r="AH15" s="166"/>
      <c r="AI15" s="164"/>
      <c r="AJ15" s="165" t="s">
        <v>70</v>
      </c>
      <c r="AK15" s="164"/>
      <c r="AL15" s="164"/>
      <c r="AM15" s="164"/>
      <c r="AN15" s="164"/>
      <c r="AO15" s="164"/>
      <c r="AP15" s="164"/>
      <c r="AQ15" s="170"/>
      <c r="AR15" s="164" t="s">
        <v>118</v>
      </c>
    </row>
    <row r="16" spans="1:47" ht="12.75" customHeight="1">
      <c r="A16" s="559" t="s">
        <v>883</v>
      </c>
      <c r="D16" s="155">
        <f>('Occupy borrower(s) Income'!D62+'Occupy borrower(s) Income'!G62)*50%</f>
        <v>0</v>
      </c>
      <c r="F16" s="38" t="s">
        <v>7</v>
      </c>
      <c r="G16" s="172" t="str">
        <f>IF(D16&gt;0,"No tax has been deducted from this amount","Not applicable")</f>
        <v>Not applicable</v>
      </c>
      <c r="H16" s="173"/>
      <c r="L16" s="156">
        <f t="shared" si="0"/>
        <v>0</v>
      </c>
      <c r="M16" s="146" t="s">
        <v>885</v>
      </c>
      <c r="AE16" s="153" t="str">
        <f>IF(AF14=0,AF13&amp;" retired adult, no children",IF(D21=1,"1 adult, ","2 adults, ")&amp;IF(D22=1,"1 child",D22&amp;" children"))</f>
        <v>2 adults, 0 children</v>
      </c>
      <c r="AF16" s="147" t="str">
        <f>VLOOKUP(AE16,$AE$19:$AF$27,2)</f>
        <v>B</v>
      </c>
      <c r="AG16" s="147"/>
      <c r="AH16" s="166"/>
      <c r="AI16" s="164"/>
      <c r="AJ16" s="171"/>
      <c r="AK16" s="171"/>
      <c r="AL16" s="171"/>
      <c r="AM16" s="171"/>
      <c r="AN16" s="171"/>
      <c r="AO16" s="171"/>
      <c r="AP16" s="164"/>
      <c r="AQ16" s="170"/>
      <c r="AR16" s="164"/>
    </row>
    <row r="17" spans="1:47" ht="12.75" customHeight="1">
      <c r="A17" s="30"/>
      <c r="D17" s="37"/>
      <c r="F17" s="37"/>
      <c r="G17" s="37"/>
      <c r="H17" s="173"/>
      <c r="L17" s="156">
        <f t="shared" si="0"/>
        <v>0</v>
      </c>
      <c r="M17" s="159" t="s">
        <v>240</v>
      </c>
      <c r="P17" s="147" t="s">
        <v>136</v>
      </c>
      <c r="X17" s="82" t="s">
        <v>754</v>
      </c>
      <c r="AE17" s="147"/>
      <c r="AF17" s="147"/>
      <c r="AG17" s="147"/>
      <c r="AH17" s="299" t="s">
        <v>13</v>
      </c>
      <c r="AI17" s="164"/>
      <c r="AJ17" s="300"/>
      <c r="AK17" s="301"/>
      <c r="AL17" s="302"/>
      <c r="AM17" s="302"/>
      <c r="AN17" s="302"/>
      <c r="AO17" s="302"/>
      <c r="AP17" s="302"/>
      <c r="AQ17" s="303"/>
      <c r="AR17" s="304"/>
    </row>
    <row r="18" spans="1:47" ht="12.75" customHeight="1">
      <c r="A18" s="30"/>
      <c r="D18" s="305">
        <f>SUM(C9+C10+D12+D13+D14+D15+D16+D17)</f>
        <v>0</v>
      </c>
      <c r="F18" s="37"/>
      <c r="G18" s="37"/>
      <c r="H18" s="173"/>
      <c r="L18" s="156"/>
      <c r="M18" s="156"/>
      <c r="P18" s="147" t="s">
        <v>137</v>
      </c>
      <c r="AE18" s="181" t="s">
        <v>75</v>
      </c>
      <c r="AF18" s="182"/>
      <c r="AG18" s="147"/>
      <c r="AH18" s="183" t="s">
        <v>76</v>
      </c>
      <c r="AI18" s="166" t="s">
        <v>77</v>
      </c>
      <c r="AJ18" s="306">
        <v>70.3</v>
      </c>
      <c r="AK18" s="307">
        <v>11.6</v>
      </c>
      <c r="AL18" s="307">
        <v>5.5</v>
      </c>
      <c r="AM18" s="307">
        <v>31.4</v>
      </c>
      <c r="AN18" s="307">
        <v>9.3000000000000007</v>
      </c>
      <c r="AO18" s="307">
        <v>9.8000000000000007</v>
      </c>
      <c r="AP18" s="307">
        <v>41.5</v>
      </c>
      <c r="AQ18" s="308">
        <v>45.3</v>
      </c>
      <c r="AR18" s="309">
        <v>26.9</v>
      </c>
      <c r="AS18" s="188">
        <f>SUM(AJ18:AR18)</f>
        <v>251.6</v>
      </c>
      <c r="AT18" s="188"/>
      <c r="AU18" s="188"/>
    </row>
    <row r="19" spans="1:47" ht="12.75" customHeight="1">
      <c r="X19" s="73" t="s">
        <v>619</v>
      </c>
      <c r="Y19" s="310"/>
      <c r="Z19" s="310"/>
      <c r="AA19" s="541"/>
      <c r="AB19" s="240" t="str">
        <f>IF(AA19="","&lt;&lt;MUST BE COMPLETED","")</f>
        <v>&lt;&lt;MUST BE COMPLETED</v>
      </c>
      <c r="AD19" s="162" t="s">
        <v>623</v>
      </c>
      <c r="AE19" s="153" t="s">
        <v>78</v>
      </c>
      <c r="AF19" s="147" t="s">
        <v>77</v>
      </c>
      <c r="AG19" s="147"/>
      <c r="AH19" s="183" t="s">
        <v>79</v>
      </c>
      <c r="AI19" s="166" t="s">
        <v>12</v>
      </c>
      <c r="AJ19" s="306">
        <v>84.1</v>
      </c>
      <c r="AK19" s="307">
        <v>19.600000000000001</v>
      </c>
      <c r="AL19" s="307">
        <v>7.2</v>
      </c>
      <c r="AM19" s="307">
        <v>61</v>
      </c>
      <c r="AN19" s="307">
        <v>15.2</v>
      </c>
      <c r="AO19" s="307">
        <v>25.1</v>
      </c>
      <c r="AP19" s="307">
        <v>87</v>
      </c>
      <c r="AQ19" s="308">
        <v>97.4</v>
      </c>
      <c r="AR19" s="309">
        <v>49.7</v>
      </c>
      <c r="AS19" s="188">
        <f>SUM(AJ19:AR19)</f>
        <v>446.2999999999999</v>
      </c>
      <c r="AT19" s="188"/>
      <c r="AU19" s="188"/>
    </row>
    <row r="20" spans="1:47" ht="12.75" customHeight="1">
      <c r="A20" s="43" t="s">
        <v>512</v>
      </c>
      <c r="H20" s="173"/>
      <c r="L20" s="156"/>
      <c r="M20" s="159"/>
      <c r="Y20" s="310"/>
      <c r="Z20" s="310"/>
      <c r="AD20" s="153">
        <f>SUM(AA21-AA19)</f>
        <v>0</v>
      </c>
      <c r="AE20" s="153" t="s">
        <v>72</v>
      </c>
      <c r="AF20" s="147" t="s">
        <v>73</v>
      </c>
      <c r="AG20" s="147"/>
      <c r="AH20" s="183" t="s">
        <v>80</v>
      </c>
      <c r="AI20" s="166" t="s">
        <v>73</v>
      </c>
      <c r="AJ20" s="306">
        <v>85.2</v>
      </c>
      <c r="AK20" s="307">
        <v>14.8</v>
      </c>
      <c r="AL20" s="307">
        <v>1.3</v>
      </c>
      <c r="AM20" s="307">
        <v>40.5</v>
      </c>
      <c r="AN20" s="307">
        <v>4.7</v>
      </c>
      <c r="AO20" s="307">
        <v>17.899999999999999</v>
      </c>
      <c r="AP20" s="307">
        <v>38.4</v>
      </c>
      <c r="AQ20" s="308">
        <v>44.7</v>
      </c>
      <c r="AR20" s="309">
        <v>35.6</v>
      </c>
      <c r="AS20" s="188">
        <f t="shared" ref="AS20:AS26" si="1">SUM(AJ20:AR20)</f>
        <v>283.10000000000002</v>
      </c>
      <c r="AT20" s="188"/>
      <c r="AU20" s="188"/>
    </row>
    <row r="21" spans="1:47" ht="12.75" customHeight="1">
      <c r="A21" s="37" t="s">
        <v>71</v>
      </c>
      <c r="D21" s="38">
        <f>'Income &amp; Committed Expenditure'!J12</f>
        <v>2</v>
      </c>
      <c r="E21" s="40" t="s">
        <v>105</v>
      </c>
      <c r="F21" s="1256" t="s">
        <v>616</v>
      </c>
      <c r="G21" s="1257"/>
      <c r="H21" s="1257"/>
      <c r="I21" s="1258"/>
      <c r="L21" s="156"/>
      <c r="P21" s="139" t="s">
        <v>432</v>
      </c>
      <c r="X21" s="73" t="s">
        <v>618</v>
      </c>
      <c r="Y21" s="310"/>
      <c r="Z21" s="310"/>
      <c r="AA21" s="541"/>
      <c r="AB21" s="240" t="str">
        <f>IF(AA21="","&lt;&lt;MUST BE COMPLETED","")</f>
        <v>&lt;&lt;MUST BE COMPLETED</v>
      </c>
      <c r="AE21" s="153" t="s">
        <v>81</v>
      </c>
      <c r="AF21" s="147" t="s">
        <v>82</v>
      </c>
      <c r="AG21" s="147"/>
      <c r="AH21" s="183" t="s">
        <v>83</v>
      </c>
      <c r="AI21" s="166" t="s">
        <v>82</v>
      </c>
      <c r="AJ21" s="306">
        <v>63.3</v>
      </c>
      <c r="AK21" s="307">
        <v>15.5</v>
      </c>
      <c r="AL21" s="307">
        <v>4.2</v>
      </c>
      <c r="AM21" s="307">
        <v>57.1</v>
      </c>
      <c r="AN21" s="307">
        <v>7.1</v>
      </c>
      <c r="AO21" s="307">
        <v>25.2</v>
      </c>
      <c r="AP21" s="307">
        <v>48.7</v>
      </c>
      <c r="AQ21" s="308">
        <v>40.6</v>
      </c>
      <c r="AR21" s="309">
        <v>23.5</v>
      </c>
      <c r="AS21" s="188">
        <f t="shared" si="1"/>
        <v>285.2</v>
      </c>
      <c r="AT21" s="188"/>
      <c r="AU21" s="188"/>
    </row>
    <row r="22" spans="1:47">
      <c r="A22" s="37" t="s">
        <v>74</v>
      </c>
      <c r="D22" s="38">
        <f>'Income &amp; Committed Expenditure'!J13</f>
        <v>0</v>
      </c>
      <c r="F22" s="1259"/>
      <c r="G22" s="1260"/>
      <c r="H22" s="1260"/>
      <c r="I22" s="1261"/>
      <c r="L22" s="192" t="s">
        <v>5</v>
      </c>
      <c r="P22" s="139" t="s">
        <v>433</v>
      </c>
      <c r="Y22" s="310"/>
      <c r="Z22" s="310"/>
      <c r="AB22" s="310"/>
      <c r="AD22" s="311" t="s">
        <v>624</v>
      </c>
      <c r="AE22" s="153" t="s">
        <v>141</v>
      </c>
      <c r="AF22" s="166" t="s">
        <v>143</v>
      </c>
      <c r="AG22" s="147"/>
      <c r="AH22" s="183" t="s">
        <v>86</v>
      </c>
      <c r="AI22" s="166" t="s">
        <v>87</v>
      </c>
      <c r="AJ22" s="306">
        <v>86</v>
      </c>
      <c r="AK22" s="307">
        <v>21.3</v>
      </c>
      <c r="AL22" s="307">
        <v>5.4</v>
      </c>
      <c r="AM22" s="307">
        <v>69.7</v>
      </c>
      <c r="AN22" s="307">
        <v>11.3</v>
      </c>
      <c r="AO22" s="307">
        <v>26.7</v>
      </c>
      <c r="AP22" s="307">
        <v>68</v>
      </c>
      <c r="AQ22" s="308">
        <v>94.4</v>
      </c>
      <c r="AR22" s="309">
        <v>53.4</v>
      </c>
      <c r="AS22" s="188">
        <f t="shared" si="1"/>
        <v>436.19999999999993</v>
      </c>
      <c r="AT22" s="188"/>
      <c r="AU22" s="188"/>
    </row>
    <row r="23" spans="1:47">
      <c r="J23" s="37" t="s">
        <v>26</v>
      </c>
      <c r="L23" s="192" t="s">
        <v>18</v>
      </c>
      <c r="P23" s="139" t="s">
        <v>434</v>
      </c>
      <c r="Q23" s="139" t="str">
        <f>'Occupy borrower(s) Income'!D9</f>
        <v>No</v>
      </c>
      <c r="R23" s="139">
        <f>IF(Q23="No",0,IF(Q23="Yes",1,IF(Q23="N/a",0)))</f>
        <v>0</v>
      </c>
      <c r="X23" s="40" t="s">
        <v>714</v>
      </c>
      <c r="Y23" s="310"/>
      <c r="Z23" s="310"/>
      <c r="AA23" s="542">
        <v>0</v>
      </c>
      <c r="AB23" s="43"/>
      <c r="AD23" s="153">
        <f>SUM(85-AA19)</f>
        <v>85</v>
      </c>
      <c r="AE23" s="153" t="s">
        <v>85</v>
      </c>
      <c r="AF23" s="147" t="s">
        <v>12</v>
      </c>
      <c r="AG23" s="147"/>
      <c r="AH23" s="183" t="s">
        <v>89</v>
      </c>
      <c r="AI23" s="166" t="s">
        <v>90</v>
      </c>
      <c r="AJ23" s="306">
        <v>89.2</v>
      </c>
      <c r="AK23" s="307">
        <v>22.6</v>
      </c>
      <c r="AL23" s="307">
        <v>6</v>
      </c>
      <c r="AM23" s="307">
        <v>84</v>
      </c>
      <c r="AN23" s="307">
        <v>12.3</v>
      </c>
      <c r="AO23" s="307">
        <v>44.2</v>
      </c>
      <c r="AP23" s="307">
        <v>105</v>
      </c>
      <c r="AQ23" s="308">
        <v>119.5</v>
      </c>
      <c r="AR23" s="309">
        <v>47.2</v>
      </c>
      <c r="AS23" s="188">
        <f t="shared" si="1"/>
        <v>530</v>
      </c>
      <c r="AT23" s="188"/>
      <c r="AU23" s="188"/>
    </row>
    <row r="24" spans="1:47">
      <c r="A24" s="43" t="s">
        <v>21</v>
      </c>
      <c r="E24" s="312"/>
      <c r="F24" s="312" t="s">
        <v>26</v>
      </c>
      <c r="L24" s="192" t="s">
        <v>7</v>
      </c>
      <c r="P24" s="139" t="s">
        <v>1</v>
      </c>
      <c r="Q24" s="139" t="str">
        <f>'Occupy borrower(s) Income'!G9</f>
        <v>No</v>
      </c>
      <c r="R24" s="139">
        <f>IF(Q24="No",0,IF(Q24="Yes",1,IF(Q24="N/a",0)))</f>
        <v>0</v>
      </c>
      <c r="AB24" s="310"/>
      <c r="AE24" s="153" t="s">
        <v>88</v>
      </c>
      <c r="AF24" s="147" t="s">
        <v>87</v>
      </c>
      <c r="AG24" s="147"/>
      <c r="AH24" s="183" t="s">
        <v>93</v>
      </c>
      <c r="AI24" s="166" t="s">
        <v>94</v>
      </c>
      <c r="AJ24" s="306">
        <v>100.6</v>
      </c>
      <c r="AK24" s="307">
        <v>23.8</v>
      </c>
      <c r="AL24" s="307">
        <v>6.7</v>
      </c>
      <c r="AM24" s="307">
        <v>89.5</v>
      </c>
      <c r="AN24" s="307">
        <v>13.4</v>
      </c>
      <c r="AO24" s="307">
        <v>35.200000000000003</v>
      </c>
      <c r="AP24" s="307">
        <v>91.9</v>
      </c>
      <c r="AQ24" s="308">
        <v>94.3</v>
      </c>
      <c r="AR24" s="309">
        <v>51.3</v>
      </c>
      <c r="AS24" s="188">
        <f t="shared" si="1"/>
        <v>506.70000000000005</v>
      </c>
      <c r="AT24" s="188"/>
      <c r="AU24" s="188"/>
    </row>
    <row r="25" spans="1:47">
      <c r="D25" s="313" t="str">
        <f>IF(R25=2, O29,O30)</f>
        <v xml:space="preserve">*Below the state retirement age </v>
      </c>
      <c r="H25" s="173" t="s">
        <v>26</v>
      </c>
      <c r="Q25" s="139" t="s">
        <v>410</v>
      </c>
      <c r="R25" s="139">
        <f>IF(R23+R24&gt;=1,2,0)</f>
        <v>0</v>
      </c>
      <c r="AB25" s="310"/>
      <c r="AE25" s="153" t="s">
        <v>92</v>
      </c>
      <c r="AF25" s="147" t="s">
        <v>90</v>
      </c>
      <c r="AG25" s="147"/>
      <c r="AH25" s="153" t="s">
        <v>141</v>
      </c>
      <c r="AI25" s="166" t="s">
        <v>143</v>
      </c>
      <c r="AJ25" s="306">
        <v>41.5</v>
      </c>
      <c r="AK25" s="307">
        <v>9.5</v>
      </c>
      <c r="AL25" s="307">
        <v>3.5</v>
      </c>
      <c r="AM25" s="307">
        <v>33.700000000000003</v>
      </c>
      <c r="AN25" s="307">
        <v>6</v>
      </c>
      <c r="AO25" s="307">
        <v>7.3</v>
      </c>
      <c r="AP25" s="307">
        <v>39</v>
      </c>
      <c r="AQ25" s="308">
        <v>23.3</v>
      </c>
      <c r="AR25" s="309">
        <v>22.5</v>
      </c>
      <c r="AS25" s="188">
        <f t="shared" si="1"/>
        <v>186.3</v>
      </c>
      <c r="AT25" s="188"/>
      <c r="AU25" s="188"/>
    </row>
    <row r="26" spans="1:47">
      <c r="A26" s="40" t="s">
        <v>490</v>
      </c>
      <c r="D26" s="314">
        <f>SUM('Income &amp; Committed Expenditure'!B31+'Income &amp; Committed Expenditure'!E31)</f>
        <v>0</v>
      </c>
      <c r="F26" s="38" t="s">
        <v>7</v>
      </c>
      <c r="G26" s="31"/>
      <c r="H26" s="1252" t="s">
        <v>9</v>
      </c>
      <c r="I26" s="1185"/>
      <c r="L26" s="197">
        <f>IF(F26=$L$2,D26*12,IF(F26=$L$3,D26*52,D26))</f>
        <v>0</v>
      </c>
      <c r="U26" s="139" t="s">
        <v>138</v>
      </c>
      <c r="X26" s="310"/>
      <c r="Y26" s="310"/>
      <c r="Z26" s="191" t="s">
        <v>26</v>
      </c>
      <c r="AA26" s="310"/>
      <c r="AB26" s="310"/>
      <c r="AE26" s="153" t="s">
        <v>95</v>
      </c>
      <c r="AF26" s="147" t="s">
        <v>94</v>
      </c>
      <c r="AG26" s="183"/>
      <c r="AH26" s="153" t="s">
        <v>142</v>
      </c>
      <c r="AI26" s="166" t="s">
        <v>144</v>
      </c>
      <c r="AJ26" s="306">
        <v>53.3</v>
      </c>
      <c r="AK26" s="307">
        <v>14.6</v>
      </c>
      <c r="AL26" s="307">
        <v>11.8</v>
      </c>
      <c r="AM26" s="307">
        <v>64.599999999999994</v>
      </c>
      <c r="AN26" s="307">
        <v>14</v>
      </c>
      <c r="AO26" s="307">
        <v>19</v>
      </c>
      <c r="AP26" s="307">
        <v>92.6</v>
      </c>
      <c r="AQ26" s="308">
        <v>66.599999999999994</v>
      </c>
      <c r="AR26" s="309">
        <v>39</v>
      </c>
      <c r="AS26" s="188">
        <f t="shared" si="1"/>
        <v>375.5</v>
      </c>
      <c r="AT26" s="188"/>
      <c r="AU26" s="188"/>
    </row>
    <row r="27" spans="1:47">
      <c r="A27" s="40" t="s">
        <v>8</v>
      </c>
      <c r="D27" s="314">
        <f>SUM('Income &amp; Committed Expenditure'!B32+'Income &amp; Committed Expenditure'!E32)</f>
        <v>0</v>
      </c>
      <c r="F27" s="38" t="s">
        <v>7</v>
      </c>
      <c r="G27" s="31"/>
      <c r="H27" s="38" t="s">
        <v>10</v>
      </c>
      <c r="I27" s="320" t="s">
        <v>11</v>
      </c>
      <c r="L27" s="197">
        <f>IF(F27=$L$2,D27*12,IF(F27=$L$3,D27*52,D27))</f>
        <v>0</v>
      </c>
      <c r="U27" s="139" t="s">
        <v>139</v>
      </c>
      <c r="AE27" s="153" t="s">
        <v>142</v>
      </c>
      <c r="AF27" s="166" t="s">
        <v>144</v>
      </c>
      <c r="AG27" s="183"/>
      <c r="AH27" s="164"/>
      <c r="AI27" s="164"/>
      <c r="AJ27" s="315"/>
      <c r="AK27" s="316"/>
      <c r="AL27" s="316"/>
      <c r="AM27" s="316"/>
      <c r="AN27" s="316"/>
      <c r="AO27" s="316"/>
      <c r="AP27" s="317"/>
      <c r="AQ27" s="318"/>
      <c r="AR27" s="319"/>
    </row>
    <row r="28" spans="1:47">
      <c r="A28" s="40" t="s">
        <v>563</v>
      </c>
      <c r="D28" s="314">
        <f>SUM('Income &amp; Committed Expenditure'!B33+'Income &amp; Committed Expenditure'!E33)</f>
        <v>0</v>
      </c>
      <c r="F28" s="38" t="s">
        <v>7</v>
      </c>
      <c r="G28" s="31"/>
      <c r="H28" s="208">
        <f>SUM('Income &amp; Committed Expenditure'!I34+'Income &amp; Committed Expenditure'!I35)</f>
        <v>0</v>
      </c>
      <c r="I28" s="71">
        <v>0.03</v>
      </c>
      <c r="L28" s="197">
        <f>IF(F28=$L$2,D28*12,IF(F28=$L$3,D28*52,D28))</f>
        <v>0</v>
      </c>
      <c r="U28" s="139" t="s">
        <v>140</v>
      </c>
      <c r="AE28" s="153"/>
      <c r="AF28" s="147"/>
      <c r="AG28" s="147"/>
      <c r="AH28" s="183"/>
      <c r="AI28" s="164"/>
      <c r="AJ28" s="170"/>
      <c r="AK28" s="164"/>
      <c r="AL28" s="164"/>
      <c r="AM28" s="164"/>
      <c r="AN28" s="164"/>
      <c r="AO28" s="164"/>
      <c r="AP28" s="164"/>
      <c r="AQ28" s="170"/>
      <c r="AR28" s="164"/>
    </row>
    <row r="29" spans="1:47">
      <c r="A29" s="40" t="s">
        <v>551</v>
      </c>
      <c r="D29" s="314">
        <f>'Income &amp; Committed Expenditure'!B34</f>
        <v>0</v>
      </c>
      <c r="F29" s="38" t="s">
        <v>7</v>
      </c>
      <c r="G29" s="31"/>
      <c r="L29" s="197">
        <f>IF(F29=$L$2,D29*12,IF(F29=$L$3,D29*52,D29))</f>
        <v>0</v>
      </c>
      <c r="O29" s="159" t="s">
        <v>728</v>
      </c>
      <c r="AA29" s="40" t="s">
        <v>26</v>
      </c>
      <c r="AE29" s="1254" t="s">
        <v>412</v>
      </c>
      <c r="AF29" s="1255"/>
      <c r="AG29" s="147"/>
      <c r="AH29" s="183"/>
      <c r="AI29" s="164"/>
      <c r="AJ29" s="170"/>
      <c r="AK29" s="164"/>
      <c r="AL29" s="164"/>
      <c r="AM29" s="164"/>
      <c r="AN29" s="164"/>
      <c r="AO29" s="164"/>
      <c r="AP29" s="164"/>
      <c r="AQ29" s="170"/>
      <c r="AR29" s="164"/>
    </row>
    <row r="30" spans="1:47">
      <c r="A30" s="40" t="s">
        <v>235</v>
      </c>
      <c r="D30" s="314">
        <f>'Income &amp; Committed Expenditure'!B35</f>
        <v>0</v>
      </c>
      <c r="F30" s="38" t="s">
        <v>7</v>
      </c>
      <c r="G30" s="31"/>
      <c r="H30" s="143" t="s">
        <v>995</v>
      </c>
      <c r="J30" s="751" t="s">
        <v>139</v>
      </c>
      <c r="L30" s="197">
        <f>IF(F30=$L$2,D30*12,IF(F30=$L$3,D30*52,D30))</f>
        <v>0</v>
      </c>
      <c r="O30" s="159" t="s">
        <v>435</v>
      </c>
      <c r="AE30" s="205" t="s">
        <v>413</v>
      </c>
      <c r="AF30" s="206" t="s">
        <v>77</v>
      </c>
      <c r="AG30" s="147"/>
      <c r="AH30" s="321" t="s">
        <v>7</v>
      </c>
      <c r="AI30" s="164"/>
      <c r="AJ30" s="170"/>
      <c r="AK30" s="164"/>
      <c r="AL30" s="164"/>
      <c r="AM30" s="164"/>
      <c r="AN30" s="164"/>
      <c r="AO30" s="164"/>
      <c r="AP30" s="164"/>
      <c r="AQ30" s="170"/>
      <c r="AR30" s="164"/>
    </row>
    <row r="31" spans="1:47" ht="12.75" customHeight="1">
      <c r="AE31" s="205" t="s">
        <v>414</v>
      </c>
      <c r="AF31" s="206" t="s">
        <v>12</v>
      </c>
      <c r="AG31" s="147"/>
      <c r="AH31" s="183" t="s">
        <v>76</v>
      </c>
      <c r="AI31" s="166" t="s">
        <v>77</v>
      </c>
      <c r="AJ31" s="186">
        <f t="shared" ref="AJ31:AR39" si="2">AJ18*4.333333333333</f>
        <v>304.63333333330991</v>
      </c>
      <c r="AK31" s="185">
        <f t="shared" si="2"/>
        <v>50.2666666666628</v>
      </c>
      <c r="AL31" s="185">
        <f t="shared" si="2"/>
        <v>23.833333333331499</v>
      </c>
      <c r="AM31" s="185">
        <f t="shared" si="2"/>
        <v>136.0666666666562</v>
      </c>
      <c r="AN31" s="185">
        <f t="shared" si="2"/>
        <v>40.299999999996906</v>
      </c>
      <c r="AO31" s="185">
        <f t="shared" si="2"/>
        <v>42.4666666666634</v>
      </c>
      <c r="AP31" s="185">
        <f t="shared" si="2"/>
        <v>179.8333333333195</v>
      </c>
      <c r="AQ31" s="186">
        <f t="shared" si="2"/>
        <v>196.29999999998489</v>
      </c>
      <c r="AR31" s="185">
        <f t="shared" si="2"/>
        <v>116.5666666666577</v>
      </c>
      <c r="AS31" s="188">
        <f>SUM(AJ31:AR31)</f>
        <v>1090.2666666665828</v>
      </c>
      <c r="AT31" s="188"/>
      <c r="AU31" s="188"/>
    </row>
    <row r="32" spans="1:47" ht="13.8" thickBot="1">
      <c r="A32" s="43" t="s">
        <v>769</v>
      </c>
      <c r="C32" s="544" t="s">
        <v>138</v>
      </c>
      <c r="D32" s="558" t="str">
        <f>IF(C32="No","IMPORTANT - ONS data can be pre-populated by selecting 'Yes'.  Once overtyped the ONS data CANNOT be re-populated.",IF(C32="Yes","IMPORTANT - the expenditure cells in purple below are populated with ONS data but these can be overtyped.  Once overtyped the ONS data CANNOT be re-populated."))</f>
        <v>IMPORTANT - the expenditure cells in purple below are populated with ONS data but these can be overtyped.  Once overtyped the ONS data CANNOT be re-populated.</v>
      </c>
      <c r="L32" s="322">
        <f>SUM(L26:L30)</f>
        <v>0</v>
      </c>
      <c r="M32" s="93" t="s">
        <v>568</v>
      </c>
      <c r="AE32" s="205" t="s">
        <v>72</v>
      </c>
      <c r="AF32" s="206" t="s">
        <v>73</v>
      </c>
      <c r="AG32" s="147"/>
      <c r="AH32" s="183" t="s">
        <v>79</v>
      </c>
      <c r="AI32" s="166" t="s">
        <v>12</v>
      </c>
      <c r="AJ32" s="186">
        <f t="shared" si="2"/>
        <v>364.43333333330526</v>
      </c>
      <c r="AK32" s="185">
        <f t="shared" si="2"/>
        <v>84.9333333333268</v>
      </c>
      <c r="AL32" s="185">
        <f t="shared" si="2"/>
        <v>31.199999999997601</v>
      </c>
      <c r="AM32" s="185">
        <f t="shared" si="2"/>
        <v>264.33333333331302</v>
      </c>
      <c r="AN32" s="185">
        <f t="shared" si="2"/>
        <v>65.866666666661601</v>
      </c>
      <c r="AO32" s="185">
        <f t="shared" si="2"/>
        <v>108.76666666665831</v>
      </c>
      <c r="AP32" s="185">
        <f t="shared" si="2"/>
        <v>376.99999999997101</v>
      </c>
      <c r="AQ32" s="186">
        <f t="shared" si="2"/>
        <v>422.06666666663421</v>
      </c>
      <c r="AR32" s="185">
        <f t="shared" si="2"/>
        <v>215.3666666666501</v>
      </c>
      <c r="AS32" s="188">
        <f t="shared" ref="AS32:AS37" si="3">SUM(AJ32:AR32)</f>
        <v>1933.9666666665182</v>
      </c>
      <c r="AT32" s="188"/>
      <c r="AU32" s="188"/>
    </row>
    <row r="33" spans="1:47" ht="13.8" thickTop="1">
      <c r="H33" s="1246" t="s">
        <v>996</v>
      </c>
      <c r="I33" s="1247"/>
      <c r="J33" s="1247"/>
      <c r="K33" s="1248"/>
      <c r="L33" s="157"/>
      <c r="M33" s="157"/>
      <c r="N33" s="157"/>
      <c r="O33" s="157"/>
      <c r="P33" s="157"/>
      <c r="Q33" s="157"/>
      <c r="R33" s="157"/>
      <c r="S33" s="157"/>
      <c r="T33" s="157"/>
      <c r="U33" s="157"/>
      <c r="V33" s="157"/>
      <c r="W33" s="157"/>
      <c r="X33" s="43"/>
      <c r="AE33" s="205" t="s">
        <v>415</v>
      </c>
      <c r="AF33" s="206" t="s">
        <v>82</v>
      </c>
      <c r="AG33" s="147"/>
      <c r="AH33" s="183" t="s">
        <v>80</v>
      </c>
      <c r="AI33" s="166" t="s">
        <v>73</v>
      </c>
      <c r="AJ33" s="186">
        <f t="shared" si="2"/>
        <v>369.19999999997162</v>
      </c>
      <c r="AK33" s="185">
        <f t="shared" si="2"/>
        <v>64.133333333328409</v>
      </c>
      <c r="AL33" s="185">
        <f t="shared" si="2"/>
        <v>5.6333333333329003</v>
      </c>
      <c r="AM33" s="185">
        <f t="shared" si="2"/>
        <v>175.4999999999865</v>
      </c>
      <c r="AN33" s="185">
        <f t="shared" si="2"/>
        <v>20.3666666666651</v>
      </c>
      <c r="AO33" s="185">
        <f t="shared" si="2"/>
        <v>77.566666666660694</v>
      </c>
      <c r="AP33" s="185">
        <f t="shared" si="2"/>
        <v>166.39999999998719</v>
      </c>
      <c r="AQ33" s="186">
        <f t="shared" si="2"/>
        <v>193.69999999998512</v>
      </c>
      <c r="AR33" s="185">
        <f t="shared" si="2"/>
        <v>154.2666666666548</v>
      </c>
      <c r="AS33" s="188">
        <f t="shared" si="3"/>
        <v>1226.7666666665723</v>
      </c>
      <c r="AT33" s="188"/>
      <c r="AU33" s="188"/>
    </row>
    <row r="34" spans="1:47">
      <c r="A34" s="43" t="s">
        <v>23</v>
      </c>
      <c r="H34" s="1243" t="str">
        <f>'ONS CALCULATIONS'!J99</f>
        <v>2 adults and 0 children</v>
      </c>
      <c r="I34" s="1244"/>
      <c r="J34" s="1244"/>
      <c r="K34" s="1245"/>
      <c r="M34" s="146" t="str">
        <f>H34</f>
        <v>2 adults and 0 children</v>
      </c>
      <c r="N34" s="146"/>
      <c r="AE34" s="205" t="s">
        <v>88</v>
      </c>
      <c r="AF34" s="206" t="s">
        <v>87</v>
      </c>
      <c r="AG34" s="147"/>
      <c r="AH34" s="183" t="s">
        <v>83</v>
      </c>
      <c r="AI34" s="166" t="s">
        <v>82</v>
      </c>
      <c r="AJ34" s="186">
        <f t="shared" si="2"/>
        <v>274.29999999997887</v>
      </c>
      <c r="AK34" s="185">
        <f t="shared" si="2"/>
        <v>67.166666666661499</v>
      </c>
      <c r="AL34" s="185">
        <f t="shared" si="2"/>
        <v>18.1999999999986</v>
      </c>
      <c r="AM34" s="185">
        <f t="shared" si="2"/>
        <v>247.43333333331429</v>
      </c>
      <c r="AN34" s="185">
        <f t="shared" si="2"/>
        <v>30.7666666666643</v>
      </c>
      <c r="AO34" s="185">
        <f t="shared" si="2"/>
        <v>109.19999999999159</v>
      </c>
      <c r="AP34" s="185">
        <f t="shared" si="2"/>
        <v>211.0333333333171</v>
      </c>
      <c r="AQ34" s="186">
        <f t="shared" si="2"/>
        <v>175.93333333331981</v>
      </c>
      <c r="AR34" s="185">
        <f t="shared" si="2"/>
        <v>101.8333333333255</v>
      </c>
      <c r="AS34" s="188">
        <f t="shared" si="3"/>
        <v>1235.8666666665715</v>
      </c>
      <c r="AT34" s="188"/>
      <c r="AU34" s="188"/>
    </row>
    <row r="35" spans="1:47">
      <c r="M35" s="213" t="s">
        <v>1011</v>
      </c>
      <c r="N35" s="213" t="s">
        <v>1012</v>
      </c>
      <c r="AE35" s="205" t="s">
        <v>92</v>
      </c>
      <c r="AF35" s="206" t="s">
        <v>90</v>
      </c>
      <c r="AG35" s="147"/>
      <c r="AH35" s="183" t="s">
        <v>86</v>
      </c>
      <c r="AI35" s="166" t="s">
        <v>87</v>
      </c>
      <c r="AJ35" s="186">
        <f t="shared" si="2"/>
        <v>372.66666666663798</v>
      </c>
      <c r="AK35" s="185">
        <f t="shared" si="2"/>
        <v>92.299999999992906</v>
      </c>
      <c r="AL35" s="185">
        <f t="shared" si="2"/>
        <v>23.399999999998201</v>
      </c>
      <c r="AM35" s="185">
        <f t="shared" si="2"/>
        <v>302.03333333331011</v>
      </c>
      <c r="AN35" s="185">
        <f t="shared" si="2"/>
        <v>48.966666666662903</v>
      </c>
      <c r="AO35" s="185">
        <f t="shared" si="2"/>
        <v>115.69999999999109</v>
      </c>
      <c r="AP35" s="185">
        <f t="shared" si="2"/>
        <v>294.66666666664401</v>
      </c>
      <c r="AQ35" s="186">
        <f t="shared" si="2"/>
        <v>409.06666666663523</v>
      </c>
      <c r="AR35" s="185">
        <f t="shared" si="2"/>
        <v>231.39999999998219</v>
      </c>
      <c r="AS35" s="188">
        <f t="shared" si="3"/>
        <v>1890.1999999998545</v>
      </c>
      <c r="AT35" s="188"/>
      <c r="AU35" s="188"/>
    </row>
    <row r="36" spans="1:47" ht="13.2" customHeight="1">
      <c r="A36" s="559" t="s">
        <v>788</v>
      </c>
      <c r="B36" s="559"/>
      <c r="C36" s="559"/>
      <c r="D36" s="761">
        <f>IF($C$32="Yes",J36,0)</f>
        <v>263.0333333333333</v>
      </c>
      <c r="F36" s="38" t="s">
        <v>7</v>
      </c>
      <c r="G36" s="312"/>
      <c r="H36" s="765" t="s">
        <v>91</v>
      </c>
      <c r="I36" s="765"/>
      <c r="J36" s="766">
        <f>'ONS CALCULATIONS'!AC110</f>
        <v>263.0333333333333</v>
      </c>
      <c r="L36" s="197">
        <f>IF(F36=$L$2,D36*12,IF(F36=$L$3,D36*52,D36))</f>
        <v>3156.3999999999996</v>
      </c>
      <c r="M36" s="764">
        <f>'ONS CALCULATIONS'!AC110</f>
        <v>263.0333333333333</v>
      </c>
      <c r="N36" s="764">
        <f>SUM(M36*12)</f>
        <v>3156.3999999999996</v>
      </c>
      <c r="AE36" s="205" t="s">
        <v>416</v>
      </c>
      <c r="AF36" s="206" t="s">
        <v>94</v>
      </c>
      <c r="AG36" s="147"/>
      <c r="AH36" s="183" t="s">
        <v>89</v>
      </c>
      <c r="AI36" s="166" t="s">
        <v>90</v>
      </c>
      <c r="AJ36" s="186">
        <f t="shared" si="2"/>
        <v>386.53333333330363</v>
      </c>
      <c r="AK36" s="185">
        <f t="shared" si="2"/>
        <v>97.933333333325805</v>
      </c>
      <c r="AL36" s="185">
        <f t="shared" si="2"/>
        <v>25.999999999998</v>
      </c>
      <c r="AM36" s="185">
        <f t="shared" si="2"/>
        <v>363.99999999997198</v>
      </c>
      <c r="AN36" s="185">
        <f t="shared" si="2"/>
        <v>53.299999999995904</v>
      </c>
      <c r="AO36" s="185">
        <f t="shared" si="2"/>
        <v>191.53333333331861</v>
      </c>
      <c r="AP36" s="185">
        <f t="shared" si="2"/>
        <v>454.99999999996498</v>
      </c>
      <c r="AQ36" s="186">
        <f t="shared" si="2"/>
        <v>517.83333333329347</v>
      </c>
      <c r="AR36" s="185">
        <f t="shared" si="2"/>
        <v>204.53333333331761</v>
      </c>
      <c r="AS36" s="188">
        <f t="shared" si="3"/>
        <v>2296.6666666664896</v>
      </c>
      <c r="AT36" s="188"/>
      <c r="AU36" s="188"/>
    </row>
    <row r="37" spans="1:47">
      <c r="A37" s="559" t="s">
        <v>656</v>
      </c>
      <c r="B37" s="559"/>
      <c r="C37" s="559"/>
      <c r="D37" s="761">
        <f>IF($C$32="Yes",J37,0)</f>
        <v>145.42016666666666</v>
      </c>
      <c r="F37" s="38" t="s">
        <v>7</v>
      </c>
      <c r="G37" s="312"/>
      <c r="H37" s="765" t="s">
        <v>1004</v>
      </c>
      <c r="I37" s="765"/>
      <c r="J37" s="767">
        <f>'ONS CALCULATIONS'!AC114</f>
        <v>145.42016666666666</v>
      </c>
      <c r="L37" s="197">
        <f>IF(F37=$L$2,D37*12,IF(F37=$L$3,D37*52,D37))</f>
        <v>1745.0419999999999</v>
      </c>
      <c r="M37" s="764">
        <f>'ONS CALCULATIONS'!AC114</f>
        <v>145.42016666666666</v>
      </c>
      <c r="N37" s="764">
        <f t="shared" ref="N37:N57" si="4">SUM(M37*12)</f>
        <v>1745.0419999999999</v>
      </c>
      <c r="AE37" s="205" t="s">
        <v>141</v>
      </c>
      <c r="AF37" s="206" t="s">
        <v>143</v>
      </c>
      <c r="AG37" s="147"/>
      <c r="AH37" s="183" t="s">
        <v>93</v>
      </c>
      <c r="AI37" s="166" t="s">
        <v>94</v>
      </c>
      <c r="AJ37" s="186">
        <f t="shared" si="2"/>
        <v>435.9333333332998</v>
      </c>
      <c r="AK37" s="185">
        <f t="shared" si="2"/>
        <v>103.1333333333254</v>
      </c>
      <c r="AL37" s="185">
        <f t="shared" si="2"/>
        <v>29.0333333333311</v>
      </c>
      <c r="AM37" s="185">
        <f t="shared" si="2"/>
        <v>387.83333333330347</v>
      </c>
      <c r="AN37" s="185">
        <f t="shared" si="2"/>
        <v>58.066666666662201</v>
      </c>
      <c r="AO37" s="185">
        <f t="shared" si="2"/>
        <v>152.53333333332162</v>
      </c>
      <c r="AP37" s="185">
        <f t="shared" si="2"/>
        <v>398.23333333330271</v>
      </c>
      <c r="AQ37" s="186">
        <f t="shared" si="2"/>
        <v>408.63333333330189</v>
      </c>
      <c r="AR37" s="185">
        <f t="shared" si="2"/>
        <v>222.29999999998287</v>
      </c>
      <c r="AS37" s="188">
        <f t="shared" si="3"/>
        <v>2195.6999999998311</v>
      </c>
      <c r="AT37" s="188"/>
      <c r="AU37" s="188"/>
    </row>
    <row r="38" spans="1:47">
      <c r="A38" s="559" t="s">
        <v>3</v>
      </c>
      <c r="B38" s="559"/>
      <c r="C38" s="559"/>
      <c r="D38" s="762">
        <v>0</v>
      </c>
      <c r="E38" s="40" t="s">
        <v>105</v>
      </c>
      <c r="F38" s="38" t="s">
        <v>7</v>
      </c>
      <c r="G38" s="312"/>
      <c r="H38" s="559"/>
      <c r="I38" s="559"/>
      <c r="J38" s="218">
        <f>IF(F38=$L$1,D38/12,D38)</f>
        <v>0</v>
      </c>
      <c r="L38" s="197">
        <f>IF(F38=$L$2,D38*10,IF(F38=$L$3,D38*44,D38))</f>
        <v>0</v>
      </c>
      <c r="M38" s="764"/>
      <c r="N38" s="764"/>
      <c r="AE38" s="214" t="s">
        <v>417</v>
      </c>
      <c r="AF38" s="215" t="s">
        <v>144</v>
      </c>
      <c r="AG38" s="147"/>
      <c r="AH38" s="153" t="s">
        <v>141</v>
      </c>
      <c r="AI38" s="166" t="s">
        <v>143</v>
      </c>
      <c r="AJ38" s="186">
        <f t="shared" si="2"/>
        <v>179.8333333333195</v>
      </c>
      <c r="AK38" s="185">
        <f t="shared" si="2"/>
        <v>41.166666666663502</v>
      </c>
      <c r="AL38" s="185">
        <f t="shared" si="2"/>
        <v>15.166666666665499</v>
      </c>
      <c r="AM38" s="185">
        <f t="shared" si="2"/>
        <v>146.0333333333221</v>
      </c>
      <c r="AN38" s="185">
        <f t="shared" si="2"/>
        <v>25.999999999998</v>
      </c>
      <c r="AO38" s="185">
        <f t="shared" si="2"/>
        <v>31.633333333330899</v>
      </c>
      <c r="AP38" s="185">
        <f t="shared" si="2"/>
        <v>168.99999999998701</v>
      </c>
      <c r="AQ38" s="186">
        <f t="shared" si="2"/>
        <v>100.96666666665891</v>
      </c>
      <c r="AR38" s="185">
        <f t="shared" si="2"/>
        <v>97.499999999992497</v>
      </c>
      <c r="AS38" s="188">
        <f>SUM(AJ38:AR38)</f>
        <v>807.29999999993788</v>
      </c>
      <c r="AT38" s="188"/>
      <c r="AU38" s="188"/>
    </row>
    <row r="39" spans="1:47">
      <c r="A39" s="559" t="s">
        <v>1005</v>
      </c>
      <c r="B39" s="559"/>
      <c r="C39" s="559"/>
      <c r="D39" s="762">
        <v>0</v>
      </c>
      <c r="F39" s="38" t="s">
        <v>7</v>
      </c>
      <c r="G39" s="312"/>
      <c r="H39" s="559"/>
      <c r="I39" s="559"/>
      <c r="J39" s="773">
        <f>IF(F39=$L$1,D39/12,IF(F39=$L$2,D39,D39*4.3333))</f>
        <v>0</v>
      </c>
      <c r="L39" s="197">
        <f t="shared" ref="L39:L46" si="5">IF(F39=$L$2,D39*12,IF(F39=$L$3,D39*52,D39))</f>
        <v>0</v>
      </c>
      <c r="M39" s="764"/>
      <c r="N39" s="764"/>
      <c r="AE39" s="147"/>
      <c r="AF39" s="147"/>
      <c r="AG39" s="147"/>
      <c r="AH39" s="153" t="s">
        <v>142</v>
      </c>
      <c r="AI39" s="166" t="s">
        <v>144</v>
      </c>
      <c r="AJ39" s="186">
        <f t="shared" si="2"/>
        <v>230.96666666664888</v>
      </c>
      <c r="AK39" s="185">
        <f t="shared" si="2"/>
        <v>63.266666666661799</v>
      </c>
      <c r="AL39" s="185">
        <f t="shared" si="2"/>
        <v>51.133333333329404</v>
      </c>
      <c r="AM39" s="185">
        <f t="shared" si="2"/>
        <v>279.93333333331179</v>
      </c>
      <c r="AN39" s="185">
        <f t="shared" si="2"/>
        <v>60.666666666661996</v>
      </c>
      <c r="AO39" s="185">
        <f t="shared" si="2"/>
        <v>82.333333333327005</v>
      </c>
      <c r="AP39" s="185">
        <f t="shared" si="2"/>
        <v>401.26666666663579</v>
      </c>
      <c r="AQ39" s="186">
        <f t="shared" si="2"/>
        <v>288.5999999999778</v>
      </c>
      <c r="AR39" s="185">
        <f t="shared" si="2"/>
        <v>168.99999999998701</v>
      </c>
      <c r="AS39" s="188">
        <f>SUM(AJ39:AR39)</f>
        <v>1627.1666666665415</v>
      </c>
      <c r="AT39" s="188"/>
      <c r="AU39" s="188"/>
    </row>
    <row r="40" spans="1:47">
      <c r="A40" s="559" t="s">
        <v>1006</v>
      </c>
      <c r="B40" s="559"/>
      <c r="C40" s="559"/>
      <c r="D40" s="761">
        <f>IF($C$32="Yes",J40,0)</f>
        <v>98.583333333333343</v>
      </c>
      <c r="F40" s="38" t="s">
        <v>7</v>
      </c>
      <c r="G40" s="312"/>
      <c r="H40" s="765" t="s">
        <v>84</v>
      </c>
      <c r="I40" s="760" t="s">
        <v>26</v>
      </c>
      <c r="J40" s="767">
        <f>'ONS CALCULATIONS'!AC122</f>
        <v>98.583333333333343</v>
      </c>
      <c r="L40" s="197">
        <f t="shared" si="5"/>
        <v>1183</v>
      </c>
      <c r="M40" s="764">
        <f>'ONS CALCULATIONS'!AC122</f>
        <v>98.583333333333343</v>
      </c>
      <c r="N40" s="764">
        <f t="shared" si="4"/>
        <v>1183</v>
      </c>
      <c r="Z40" s="1225" t="s">
        <v>1014</v>
      </c>
      <c r="AA40" s="1225"/>
      <c r="AB40" s="1225"/>
      <c r="AC40" s="1225"/>
      <c r="AE40" s="147"/>
      <c r="AF40" s="147"/>
      <c r="AG40" s="147"/>
    </row>
    <row r="41" spans="1:47">
      <c r="A41" s="559" t="s">
        <v>1019</v>
      </c>
      <c r="B41" s="559"/>
      <c r="C41" s="559"/>
      <c r="D41" s="763">
        <f>U53</f>
        <v>124.35561666666665</v>
      </c>
      <c r="F41" s="38" t="s">
        <v>7</v>
      </c>
      <c r="G41" s="312"/>
      <c r="H41" s="765" t="s">
        <v>161</v>
      </c>
      <c r="I41" s="545" t="s">
        <v>138</v>
      </c>
      <c r="J41" s="766">
        <f>IF(I41="No",0,'ONS CALCULATIONS'!AC120)</f>
        <v>124.35561666666665</v>
      </c>
      <c r="L41" s="197">
        <f t="shared" si="5"/>
        <v>1492.2673999999997</v>
      </c>
      <c r="M41" s="764">
        <f>'ONS CALCULATIONS'!AC120</f>
        <v>124.35561666666665</v>
      </c>
      <c r="N41" s="764">
        <f t="shared" si="4"/>
        <v>1492.2673999999997</v>
      </c>
      <c r="X41" s="40" t="s">
        <v>105</v>
      </c>
      <c r="Z41" s="40"/>
      <c r="AA41" s="40"/>
      <c r="AB41" s="141" t="s">
        <v>0</v>
      </c>
      <c r="AC41" s="141" t="s">
        <v>1</v>
      </c>
    </row>
    <row r="42" spans="1:47">
      <c r="A42" s="559" t="s">
        <v>1020</v>
      </c>
      <c r="B42" s="559"/>
      <c r="C42" s="559"/>
      <c r="D42" s="763">
        <f>U54</f>
        <v>60.295516666666664</v>
      </c>
      <c r="F42" s="38" t="s">
        <v>7</v>
      </c>
      <c r="G42" s="312"/>
      <c r="H42" s="768" t="s">
        <v>165</v>
      </c>
      <c r="I42" s="760"/>
      <c r="J42" s="766">
        <f>IF(I41="No",0,'ONS CALCULATIONS'!AC126)</f>
        <v>60.295516666666664</v>
      </c>
      <c r="L42" s="197">
        <f t="shared" si="5"/>
        <v>723.5462</v>
      </c>
      <c r="M42" s="764">
        <f>'ONS CALCULATIONS'!AC126</f>
        <v>60.295516666666664</v>
      </c>
      <c r="N42" s="764">
        <f t="shared" si="4"/>
        <v>723.5462</v>
      </c>
      <c r="Z42" s="73" t="s">
        <v>165</v>
      </c>
      <c r="AA42" s="217"/>
      <c r="AB42" s="546">
        <v>0</v>
      </c>
      <c r="AC42" s="546">
        <v>0</v>
      </c>
      <c r="AH42" s="298" t="s">
        <v>378</v>
      </c>
      <c r="AI42" s="93"/>
      <c r="AJ42" s="93"/>
      <c r="AK42" s="93"/>
      <c r="AL42" s="93"/>
      <c r="AM42" s="93"/>
      <c r="AN42" s="93"/>
      <c r="AO42" s="104"/>
      <c r="AP42" s="104"/>
      <c r="AQ42" s="104"/>
      <c r="AR42" s="104"/>
      <c r="AS42" s="104"/>
      <c r="AT42" s="104"/>
      <c r="AU42" s="104"/>
    </row>
    <row r="43" spans="1:47">
      <c r="A43" s="559" t="s">
        <v>163</v>
      </c>
      <c r="B43" s="559"/>
      <c r="C43" s="559"/>
      <c r="D43" s="762">
        <v>0</v>
      </c>
      <c r="F43" s="38" t="s">
        <v>7</v>
      </c>
      <c r="G43" s="312"/>
      <c r="H43" s="559"/>
      <c r="J43" s="773">
        <f>IF(F43=$L$1,D43/12,IF(F43=$L$2,D43,D43*4.3333))</f>
        <v>0</v>
      </c>
      <c r="L43" s="197">
        <f t="shared" si="5"/>
        <v>0</v>
      </c>
      <c r="M43" s="764" t="s">
        <v>26</v>
      </c>
      <c r="N43" s="764"/>
      <c r="Y43" s="40"/>
      <c r="Z43" s="73" t="s">
        <v>166</v>
      </c>
      <c r="AA43" s="217"/>
      <c r="AB43" s="546">
        <v>0</v>
      </c>
      <c r="AC43" s="546">
        <v>0</v>
      </c>
      <c r="AH43" s="299" t="s">
        <v>13</v>
      </c>
      <c r="AI43" s="159"/>
      <c r="AJ43" s="159"/>
      <c r="AK43" s="299" t="s">
        <v>7</v>
      </c>
      <c r="AL43" s="159"/>
      <c r="AM43" s="159"/>
      <c r="AN43" s="159"/>
    </row>
    <row r="44" spans="1:47">
      <c r="A44" s="559" t="s">
        <v>24</v>
      </c>
      <c r="B44" s="559"/>
      <c r="C44" s="559"/>
      <c r="D44" s="761">
        <f>IF($C$32="Yes",J44,0)</f>
        <v>46.149999999999991</v>
      </c>
      <c r="F44" s="38" t="s">
        <v>7</v>
      </c>
      <c r="G44" s="312"/>
      <c r="H44" s="765" t="s">
        <v>65</v>
      </c>
      <c r="I44" s="347"/>
      <c r="J44" s="766">
        <f>'ONS CALCULATIONS'!AC118</f>
        <v>46.149999999999991</v>
      </c>
      <c r="L44" s="197">
        <f t="shared" si="5"/>
        <v>553.79999999999995</v>
      </c>
      <c r="M44" s="764">
        <f>'ONS CALCULATIONS'!AC118</f>
        <v>46.149999999999991</v>
      </c>
      <c r="N44" s="764">
        <f t="shared" si="4"/>
        <v>553.79999999999995</v>
      </c>
      <c r="P44" s="139" t="s">
        <v>427</v>
      </c>
      <c r="T44" s="533" t="s">
        <v>785</v>
      </c>
      <c r="U44" s="775"/>
      <c r="Y44" s="40"/>
      <c r="Z44" s="73" t="s">
        <v>148</v>
      </c>
      <c r="AA44" s="217"/>
      <c r="AB44" s="546">
        <v>0</v>
      </c>
      <c r="AC44" s="546">
        <v>0</v>
      </c>
      <c r="AH44" s="159" t="s">
        <v>111</v>
      </c>
      <c r="AI44" s="323">
        <v>9.5</v>
      </c>
      <c r="AJ44" s="159"/>
      <c r="AK44" s="159" t="s">
        <v>111</v>
      </c>
      <c r="AL44" s="185">
        <f>AI44*4.333333333333</f>
        <v>41.166666666663502</v>
      </c>
      <c r="AM44" s="159"/>
      <c r="AN44" s="159"/>
    </row>
    <row r="45" spans="1:47">
      <c r="A45" s="559" t="s">
        <v>1007</v>
      </c>
      <c r="B45" s="559"/>
      <c r="C45" s="559"/>
      <c r="D45" s="547">
        <v>0</v>
      </c>
      <c r="F45" s="38" t="s">
        <v>7</v>
      </c>
      <c r="G45" s="312"/>
      <c r="J45" s="770">
        <f>IF(F45=$L$1,D45/12,IF(F45=$L$2,D45,D45*4.3333))</f>
        <v>0</v>
      </c>
      <c r="L45" s="197">
        <f t="shared" si="5"/>
        <v>0</v>
      </c>
      <c r="M45" s="764"/>
      <c r="N45" s="764"/>
      <c r="P45" s="139" t="s">
        <v>428</v>
      </c>
      <c r="R45" s="139">
        <f>IF('Occupy borrower(s) Income'!D9="Yes",1,IF('Occupy borrower(s) Income'!D9="No",1,IF('Occupy borrower(s) Income'!D9="N/a",0)))</f>
        <v>1</v>
      </c>
      <c r="T45" s="776" t="s">
        <v>161</v>
      </c>
      <c r="U45" s="777">
        <f>SUM(AB43:AC46)</f>
        <v>0</v>
      </c>
      <c r="Z45" s="73" t="s">
        <v>149</v>
      </c>
      <c r="AA45" s="217"/>
      <c r="AB45" s="546">
        <v>0</v>
      </c>
      <c r="AC45" s="546">
        <v>0</v>
      </c>
      <c r="AH45" s="159" t="s">
        <v>113</v>
      </c>
      <c r="AI45" s="324">
        <v>11.1</v>
      </c>
      <c r="AJ45" s="159"/>
      <c r="AK45" s="159" t="s">
        <v>113</v>
      </c>
      <c r="AL45" s="185">
        <f>AI45*4.333333333333</f>
        <v>48.099999999996299</v>
      </c>
      <c r="AM45" s="159"/>
      <c r="AN45" s="159"/>
    </row>
    <row r="46" spans="1:47">
      <c r="A46" s="559" t="s">
        <v>1021</v>
      </c>
      <c r="B46" s="559"/>
      <c r="C46" s="559"/>
      <c r="D46" s="547">
        <v>0</v>
      </c>
      <c r="F46" s="38" t="s">
        <v>7</v>
      </c>
      <c r="G46" s="312"/>
      <c r="H46" s="66"/>
      <c r="J46" s="770">
        <f>IF(F46=$L$1,D46/12,IF(F46=$L$2,D46,D46*4.3333))</f>
        <v>0</v>
      </c>
      <c r="L46" s="197">
        <f t="shared" si="5"/>
        <v>0</v>
      </c>
      <c r="M46" s="764"/>
      <c r="N46" s="764"/>
      <c r="P46" s="139" t="s">
        <v>429</v>
      </c>
      <c r="R46" s="139">
        <f>IF('Occupy borrower(s) Income'!G9="Yes",1,IF('Occupy borrower(s) Income'!G9="No",1,IF('Occupy borrower(s) Income'!G9="N/a",0)))</f>
        <v>1</v>
      </c>
      <c r="T46" s="778" t="s">
        <v>165</v>
      </c>
      <c r="U46" s="779">
        <f>SUM(AB42:AC42)</f>
        <v>0</v>
      </c>
      <c r="Z46" s="73" t="s">
        <v>162</v>
      </c>
      <c r="AA46" s="217"/>
      <c r="AB46" s="546">
        <v>0</v>
      </c>
      <c r="AC46" s="546">
        <v>0</v>
      </c>
      <c r="AH46" s="159" t="s">
        <v>112</v>
      </c>
      <c r="AI46" s="324">
        <v>10.4</v>
      </c>
      <c r="AJ46" s="159"/>
      <c r="AK46" s="159" t="s">
        <v>112</v>
      </c>
      <c r="AL46" s="185">
        <f>AI46*4.333333333333</f>
        <v>45.066666666663203</v>
      </c>
      <c r="AM46" s="159"/>
      <c r="AN46" s="159"/>
    </row>
    <row r="47" spans="1:47">
      <c r="A47" s="559"/>
      <c r="B47" s="559"/>
      <c r="C47" s="559"/>
      <c r="J47" s="559"/>
      <c r="M47" s="764"/>
      <c r="N47" s="764"/>
      <c r="P47" s="139" t="s">
        <v>430</v>
      </c>
      <c r="R47" s="139">
        <f>SUM(R45:R46)</f>
        <v>2</v>
      </c>
      <c r="T47" s="146"/>
      <c r="U47" s="146"/>
      <c r="Z47" s="43" t="s">
        <v>2</v>
      </c>
      <c r="AA47" s="40"/>
      <c r="AB47" s="223">
        <f>SUM(AB42:AB46)</f>
        <v>0</v>
      </c>
      <c r="AC47" s="223">
        <f>SUM(AC42:AC46)</f>
        <v>0</v>
      </c>
      <c r="AH47" s="159" t="s">
        <v>114</v>
      </c>
      <c r="AI47" s="325">
        <v>0.8</v>
      </c>
      <c r="AJ47" s="159"/>
      <c r="AK47" s="159" t="s">
        <v>114</v>
      </c>
      <c r="AL47" s="185">
        <f>AI47*4.333333333333</f>
        <v>3.4666666666664003</v>
      </c>
      <c r="AM47" s="159"/>
      <c r="AN47" s="159"/>
    </row>
    <row r="48" spans="1:47">
      <c r="A48" s="559"/>
      <c r="B48" s="559"/>
      <c r="C48" s="559"/>
      <c r="E48" s="312"/>
      <c r="G48" s="66"/>
      <c r="H48" s="66"/>
      <c r="I48" s="40"/>
      <c r="J48" s="559"/>
      <c r="L48" s="197"/>
      <c r="M48" s="764"/>
      <c r="N48" s="764"/>
      <c r="P48" s="139" t="s">
        <v>431</v>
      </c>
      <c r="R48" s="139">
        <f>D21</f>
        <v>2</v>
      </c>
      <c r="T48" s="533" t="s">
        <v>786</v>
      </c>
      <c r="U48" s="775"/>
      <c r="Y48" s="40"/>
      <c r="AE48" s="224"/>
      <c r="AH48" s="157" t="s">
        <v>2</v>
      </c>
      <c r="AI48" s="225">
        <f>SUM(AI43:AI47)</f>
        <v>31.8</v>
      </c>
      <c r="AJ48" s="159"/>
      <c r="AK48" s="157" t="s">
        <v>2</v>
      </c>
      <c r="AL48" s="225">
        <f>SUM(AL43:AL47)</f>
        <v>137.79999999998941</v>
      </c>
      <c r="AM48" s="159"/>
      <c r="AN48" s="159"/>
    </row>
    <row r="49" spans="1:69">
      <c r="A49" s="43" t="s">
        <v>25</v>
      </c>
      <c r="B49" s="559"/>
      <c r="C49" s="559"/>
      <c r="E49" s="312"/>
      <c r="J49" s="559"/>
      <c r="L49" s="197"/>
      <c r="M49" s="764"/>
      <c r="N49" s="764"/>
      <c r="T49" s="776" t="s">
        <v>161</v>
      </c>
      <c r="U49" s="777">
        <f>IF($I$41="Yes",'ONS CALCULATIONS'!AC120,IF($I$41="No",0))</f>
        <v>124.35561666666665</v>
      </c>
      <c r="AE49" s="224"/>
      <c r="AH49" s="159" t="s">
        <v>26</v>
      </c>
      <c r="AI49" s="159"/>
      <c r="AJ49" s="159"/>
      <c r="AK49" s="159"/>
      <c r="AL49" s="159"/>
      <c r="AM49" s="159"/>
      <c r="AN49" s="159"/>
    </row>
    <row r="50" spans="1:69">
      <c r="A50" s="559"/>
      <c r="B50" s="559"/>
      <c r="C50" s="559"/>
      <c r="D50" s="37"/>
      <c r="E50" s="312"/>
      <c r="H50" s="227"/>
      <c r="I50" s="40"/>
      <c r="J50" s="559"/>
      <c r="L50" s="197"/>
      <c r="M50" s="764"/>
      <c r="N50" s="764"/>
      <c r="T50" s="778" t="s">
        <v>165</v>
      </c>
      <c r="U50" s="779">
        <f>IF($I$41="Yes",'ONS CALCULATIONS'!AC126,IF($I$41="No",0))</f>
        <v>60.295516666666664</v>
      </c>
      <c r="Z50" s="37" t="s">
        <v>192</v>
      </c>
      <c r="AE50" s="224"/>
      <c r="AH50" s="298" t="s">
        <v>379</v>
      </c>
      <c r="AI50" s="93"/>
      <c r="AJ50" s="93"/>
      <c r="AK50" s="93"/>
      <c r="AL50" s="93"/>
      <c r="AM50" s="93"/>
      <c r="AN50" s="93"/>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row>
    <row r="51" spans="1:69">
      <c r="A51" s="559" t="s">
        <v>1013</v>
      </c>
      <c r="B51" s="559"/>
      <c r="C51" s="559"/>
      <c r="D51" s="1037">
        <f>IF($C$32="Yes",J51,0)</f>
        <v>279.5</v>
      </c>
      <c r="F51" s="38" t="s">
        <v>7</v>
      </c>
      <c r="G51" s="312"/>
      <c r="H51" s="1024" t="s">
        <v>1008</v>
      </c>
      <c r="I51" s="765"/>
      <c r="J51" s="766">
        <f>'ONS CALCULATIONS'!AC124</f>
        <v>279.5</v>
      </c>
      <c r="L51" s="197">
        <f>IF(F51=$L$2,D51*12,IF(F51=$L$3,D51*52,D51))</f>
        <v>3354</v>
      </c>
      <c r="M51" s="764">
        <f>'ONS CALCULATIONS'!AC124</f>
        <v>279.5</v>
      </c>
      <c r="N51" s="764">
        <f t="shared" si="4"/>
        <v>3354</v>
      </c>
      <c r="T51" s="146"/>
      <c r="U51" s="780"/>
      <c r="Z51" s="1238" t="s">
        <v>150</v>
      </c>
      <c r="AA51" s="1239"/>
      <c r="AB51" s="1239"/>
      <c r="AC51" s="1240"/>
      <c r="AH51" s="299" t="s">
        <v>13</v>
      </c>
      <c r="AI51" s="159"/>
      <c r="AJ51" s="159"/>
      <c r="AK51" s="299" t="s">
        <v>7</v>
      </c>
      <c r="AL51" s="159"/>
      <c r="AM51" s="159"/>
      <c r="AN51" s="159"/>
    </row>
    <row r="52" spans="1:69" ht="12.75" customHeight="1">
      <c r="A52" s="559" t="s">
        <v>1009</v>
      </c>
      <c r="B52" s="559"/>
      <c r="C52" s="559"/>
      <c r="D52" s="547">
        <v>0</v>
      </c>
      <c r="F52" s="38" t="s">
        <v>7</v>
      </c>
      <c r="G52" s="312"/>
      <c r="H52" s="772"/>
      <c r="I52" s="559"/>
      <c r="J52" s="770">
        <f>IF(F52=$L$1,D52/12,IF(F52=$L$2,D52,D52*4.3333))</f>
        <v>0</v>
      </c>
      <c r="L52" s="197">
        <f t="shared" ref="L52:L58" si="6">IF(F52=$L$2,D52*12,IF(F52=$L$3,D52*52,D52))</f>
        <v>0</v>
      </c>
      <c r="M52" s="764"/>
      <c r="N52" s="764"/>
      <c r="T52" s="533" t="s">
        <v>787</v>
      </c>
      <c r="U52" s="781"/>
      <c r="Z52" s="1229"/>
      <c r="AA52" s="1230"/>
      <c r="AB52" s="1230"/>
      <c r="AC52" s="1231"/>
      <c r="AH52" s="157" t="s">
        <v>153</v>
      </c>
      <c r="AI52" s="159"/>
      <c r="AJ52" s="159"/>
      <c r="AK52" s="157" t="s">
        <v>153</v>
      </c>
      <c r="AL52" s="159"/>
      <c r="AM52" s="159"/>
      <c r="AN52" s="159"/>
    </row>
    <row r="53" spans="1:69">
      <c r="A53" s="559" t="s">
        <v>1017</v>
      </c>
      <c r="B53" s="559"/>
      <c r="C53" s="559"/>
      <c r="D53" s="547">
        <v>0</v>
      </c>
      <c r="F53" s="38" t="s">
        <v>7</v>
      </c>
      <c r="G53" s="312"/>
      <c r="H53" s="559"/>
      <c r="I53" s="559"/>
      <c r="J53" s="770">
        <f>IF(F53=$L$1,D53/12,IF(F53=$L$2,D53,D53*4.3333))</f>
        <v>0</v>
      </c>
      <c r="L53" s="197">
        <f t="shared" si="6"/>
        <v>0</v>
      </c>
      <c r="M53" s="764"/>
      <c r="N53" s="764"/>
      <c r="T53" s="776" t="s">
        <v>161</v>
      </c>
      <c r="U53" s="777">
        <f>IF(U45&gt;0,U45,U49)</f>
        <v>124.35561666666665</v>
      </c>
      <c r="Z53" s="1232"/>
      <c r="AA53" s="1233"/>
      <c r="AB53" s="1233"/>
      <c r="AC53" s="1234"/>
      <c r="AH53" s="159" t="s">
        <v>165</v>
      </c>
      <c r="AI53" s="323">
        <v>10.3</v>
      </c>
      <c r="AJ53" s="228"/>
      <c r="AK53" s="159" t="s">
        <v>165</v>
      </c>
      <c r="AL53" s="185">
        <f>AI53*4.333333333333</f>
        <v>44.633333333329901</v>
      </c>
      <c r="AM53" s="159"/>
      <c r="AN53" s="159"/>
    </row>
    <row r="54" spans="1:69">
      <c r="A54" s="559" t="s">
        <v>115</v>
      </c>
      <c r="B54" s="559"/>
      <c r="C54" s="559"/>
      <c r="D54" s="547">
        <v>0</v>
      </c>
      <c r="F54" s="38" t="s">
        <v>7</v>
      </c>
      <c r="G54" s="312"/>
      <c r="H54" s="772"/>
      <c r="I54" s="559"/>
      <c r="J54" s="770">
        <f>IF(F54=$L$1,D54/12,IF(F54=$L$2,D54,D54*4.3333))</f>
        <v>0</v>
      </c>
      <c r="K54" s="30"/>
      <c r="L54" s="197">
        <f t="shared" si="6"/>
        <v>0</v>
      </c>
      <c r="M54" s="764"/>
      <c r="N54" s="764"/>
      <c r="T54" s="778" t="s">
        <v>165</v>
      </c>
      <c r="U54" s="779">
        <f>IF(U46&gt;0,U46,U50)</f>
        <v>60.295516666666664</v>
      </c>
      <c r="Y54" s="40"/>
      <c r="Z54" s="1232"/>
      <c r="AA54" s="1233"/>
      <c r="AB54" s="1233"/>
      <c r="AC54" s="1234"/>
      <c r="AH54" s="159" t="s">
        <v>164</v>
      </c>
      <c r="AI54" s="324">
        <v>2.6</v>
      </c>
      <c r="AJ54" s="159"/>
      <c r="AK54" s="159" t="s">
        <v>164</v>
      </c>
      <c r="AL54" s="185">
        <f>AI54*4.333333333333</f>
        <v>11.266666666665801</v>
      </c>
      <c r="AM54" s="159"/>
      <c r="AN54" s="159"/>
    </row>
    <row r="55" spans="1:69">
      <c r="A55" s="559" t="s">
        <v>1022</v>
      </c>
      <c r="B55" s="559"/>
      <c r="C55" s="559"/>
      <c r="D55" s="547">
        <v>0</v>
      </c>
      <c r="F55" s="38" t="s">
        <v>7</v>
      </c>
      <c r="G55" s="312"/>
      <c r="H55" s="772"/>
      <c r="I55" s="559"/>
      <c r="J55" s="770">
        <f>IF(F55=$L$1,D55/12,IF(F55=$L$2,D55,D55*4.3333))</f>
        <v>0</v>
      </c>
      <c r="K55" s="30"/>
      <c r="L55" s="197">
        <f t="shared" si="6"/>
        <v>0</v>
      </c>
      <c r="M55" s="764"/>
      <c r="N55" s="764"/>
      <c r="Z55" s="1232"/>
      <c r="AA55" s="1233"/>
      <c r="AB55" s="1233"/>
      <c r="AC55" s="1234"/>
      <c r="AH55" s="159" t="s">
        <v>154</v>
      </c>
      <c r="AI55" s="324">
        <v>20.399999999999999</v>
      </c>
      <c r="AJ55" s="228"/>
      <c r="AK55" s="159" t="s">
        <v>154</v>
      </c>
      <c r="AL55" s="185">
        <f>AI55*4.333333333333</f>
        <v>88.399999999993199</v>
      </c>
      <c r="AM55" s="159"/>
      <c r="AN55" s="159"/>
    </row>
    <row r="56" spans="1:69">
      <c r="A56" s="559" t="s">
        <v>985</v>
      </c>
      <c r="B56" s="559"/>
      <c r="C56" s="559"/>
      <c r="D56" s="212">
        <f>IF($C$32="Yes",J56,0)</f>
        <v>87.1</v>
      </c>
      <c r="F56" s="38" t="s">
        <v>7</v>
      </c>
      <c r="G56" s="312"/>
      <c r="H56" s="765" t="s">
        <v>985</v>
      </c>
      <c r="I56" s="765"/>
      <c r="J56" s="766">
        <f>'ONS CALCULATIONS'!AC112</f>
        <v>87.1</v>
      </c>
      <c r="K56" s="30"/>
      <c r="L56" s="197">
        <f t="shared" si="6"/>
        <v>1045.1999999999998</v>
      </c>
      <c r="M56" s="764">
        <f>'ONS CALCULATIONS'!AC112</f>
        <v>87.1</v>
      </c>
      <c r="N56" s="764">
        <f t="shared" si="4"/>
        <v>1045.1999999999998</v>
      </c>
      <c r="Y56" s="40"/>
      <c r="Z56" s="1232"/>
      <c r="AA56" s="1233"/>
      <c r="AB56" s="1233"/>
      <c r="AC56" s="1234"/>
      <c r="AF56" s="159" t="s">
        <v>138</v>
      </c>
      <c r="AH56" s="159" t="s">
        <v>221</v>
      </c>
      <c r="AI56" s="324">
        <v>6.5</v>
      </c>
      <c r="AJ56" s="228"/>
      <c r="AK56" s="159" t="s">
        <v>221</v>
      </c>
      <c r="AL56" s="185">
        <f>AI56*4.333333333333</f>
        <v>28.166666666664501</v>
      </c>
      <c r="AM56" s="159"/>
      <c r="AN56" s="159"/>
    </row>
    <row r="57" spans="1:69">
      <c r="A57" s="559" t="s">
        <v>123</v>
      </c>
      <c r="B57" s="559"/>
      <c r="C57" s="559"/>
      <c r="D57" s="212">
        <f>IF($C$32="Yes",J57,0)</f>
        <v>162.71666666666664</v>
      </c>
      <c r="E57" s="37" t="s">
        <v>26</v>
      </c>
      <c r="F57" s="38" t="s">
        <v>7</v>
      </c>
      <c r="G57" s="312"/>
      <c r="H57" s="765" t="s">
        <v>123</v>
      </c>
      <c r="I57" s="765"/>
      <c r="J57" s="766">
        <f>'ONS CALCULATIONS'!AC116</f>
        <v>162.71666666666664</v>
      </c>
      <c r="L57" s="197">
        <f t="shared" si="6"/>
        <v>1952.5999999999997</v>
      </c>
      <c r="M57" s="764">
        <f>'ONS CALCULATIONS'!AC116</f>
        <v>162.71666666666664</v>
      </c>
      <c r="N57" s="764">
        <f t="shared" si="4"/>
        <v>1952.5999999999997</v>
      </c>
      <c r="Y57" s="40"/>
      <c r="Z57" s="1232"/>
      <c r="AA57" s="1233"/>
      <c r="AB57" s="1233"/>
      <c r="AC57" s="1234"/>
      <c r="AF57" s="159" t="s">
        <v>139</v>
      </c>
      <c r="AH57" s="159" t="s">
        <v>155</v>
      </c>
      <c r="AI57" s="325">
        <v>3</v>
      </c>
      <c r="AJ57" s="228"/>
      <c r="AK57" s="159" t="s">
        <v>155</v>
      </c>
      <c r="AL57" s="185">
        <f>AI57*4.333333333333</f>
        <v>12.999999999999</v>
      </c>
      <c r="AM57" s="159"/>
      <c r="AN57" s="159"/>
    </row>
    <row r="58" spans="1:69" ht="15">
      <c r="A58" s="559" t="s">
        <v>1010</v>
      </c>
      <c r="B58" s="559"/>
      <c r="C58" s="559"/>
      <c r="D58" s="547">
        <v>0</v>
      </c>
      <c r="F58" s="38" t="s">
        <v>7</v>
      </c>
      <c r="G58" s="172"/>
      <c r="I58" s="40"/>
      <c r="J58" s="770">
        <f>IF(F58=$L$1,D58/12,IF(F58=$L$2,D58,D58*4.3333))</f>
        <v>0</v>
      </c>
      <c r="K58" s="30"/>
      <c r="L58" s="197">
        <f t="shared" si="6"/>
        <v>0</v>
      </c>
      <c r="M58" s="213" t="s">
        <v>1011</v>
      </c>
      <c r="N58" s="1025" t="s">
        <v>1012</v>
      </c>
      <c r="Z58" s="1232"/>
      <c r="AA58" s="1233"/>
      <c r="AB58" s="1233"/>
      <c r="AC58" s="1234"/>
      <c r="AH58" s="157" t="s">
        <v>2</v>
      </c>
      <c r="AI58" s="225">
        <f>SUM(AI53:AI57)</f>
        <v>42.8</v>
      </c>
      <c r="AJ58" s="159"/>
      <c r="AK58" s="157" t="s">
        <v>2</v>
      </c>
      <c r="AL58" s="225">
        <f>SUM(AL53:AL57)</f>
        <v>185.4666666666524</v>
      </c>
      <c r="AM58" s="159"/>
      <c r="AN58" s="159"/>
    </row>
    <row r="59" spans="1:69">
      <c r="J59" s="559"/>
      <c r="L59" s="197"/>
      <c r="M59" s="764">
        <f>SUM(M36:M57)</f>
        <v>1267.1546333333333</v>
      </c>
      <c r="N59" s="764">
        <f>SUM(N36:N57)</f>
        <v>15205.855599999997</v>
      </c>
      <c r="Z59" s="1232"/>
      <c r="AA59" s="1233"/>
      <c r="AB59" s="1233"/>
      <c r="AC59" s="1234"/>
      <c r="AH59" s="159"/>
      <c r="AI59" s="159"/>
      <c r="AJ59" s="159"/>
      <c r="AK59" s="159"/>
      <c r="AL59" s="159"/>
      <c r="AM59" s="159"/>
      <c r="AN59" s="159"/>
    </row>
    <row r="60" spans="1:69">
      <c r="G60" s="41" t="s">
        <v>26</v>
      </c>
      <c r="J60" s="559"/>
      <c r="L60" s="197"/>
      <c r="M60" s="146"/>
      <c r="N60" s="146"/>
      <c r="Y60" s="40"/>
      <c r="Z60" s="1232"/>
      <c r="AA60" s="1233"/>
      <c r="AB60" s="1233"/>
      <c r="AC60" s="1234"/>
      <c r="AH60" s="157" t="s">
        <v>156</v>
      </c>
      <c r="AI60" s="159"/>
      <c r="AJ60" s="159"/>
      <c r="AK60" s="157" t="s">
        <v>156</v>
      </c>
      <c r="AL60" s="159"/>
      <c r="AM60" s="159"/>
      <c r="AN60" s="159"/>
    </row>
    <row r="61" spans="1:69">
      <c r="A61" s="43" t="s">
        <v>101</v>
      </c>
      <c r="D61" s="229">
        <f>SUM(D36:D37)+SUM(D39:D46)+(D38/12*10)+SUM(D51:D58)</f>
        <v>1267.1546333333331</v>
      </c>
      <c r="E61" s="37" t="s">
        <v>105</v>
      </c>
      <c r="G61" s="66" t="s">
        <v>26</v>
      </c>
      <c r="H61" s="43" t="s">
        <v>100</v>
      </c>
      <c r="J61" s="229">
        <f>SUM(J36:J37)+SUM(J39:J46)+SUM(J38/12*10)+SUM(J51:J58)</f>
        <v>1267.1546333333331</v>
      </c>
      <c r="L61" s="197">
        <f>SUM(L36:L46,L51:L58)</f>
        <v>15205.855599999997</v>
      </c>
      <c r="M61" s="146" t="s">
        <v>614</v>
      </c>
      <c r="N61" s="146"/>
      <c r="O61" s="224"/>
      <c r="Z61" s="1232"/>
      <c r="AA61" s="1233"/>
      <c r="AB61" s="1233"/>
      <c r="AC61" s="1234"/>
      <c r="AH61" s="159" t="s">
        <v>157</v>
      </c>
      <c r="AI61" s="326">
        <v>4.4000000000000004</v>
      </c>
      <c r="AJ61" s="159"/>
      <c r="AK61" s="159" t="s">
        <v>157</v>
      </c>
      <c r="AL61" s="185">
        <f>AI61*4.333333333333</f>
        <v>19.066666666665203</v>
      </c>
      <c r="AM61" s="159"/>
      <c r="AN61" s="159"/>
    </row>
    <row r="62" spans="1:69">
      <c r="A62" s="40"/>
      <c r="L62" s="197"/>
      <c r="Z62" s="1232"/>
      <c r="AA62" s="1233"/>
      <c r="AB62" s="1233"/>
      <c r="AC62" s="1234"/>
      <c r="AH62" s="159" t="s">
        <v>158</v>
      </c>
      <c r="AI62" s="327">
        <v>1.4</v>
      </c>
      <c r="AJ62" s="159"/>
      <c r="AK62" s="159" t="s">
        <v>158</v>
      </c>
      <c r="AL62" s="185">
        <f>AI62*4.333333333333</f>
        <v>6.0666666666661992</v>
      </c>
      <c r="AM62" s="159" t="s">
        <v>26</v>
      </c>
      <c r="AN62" s="159"/>
    </row>
    <row r="63" spans="1:69">
      <c r="F63" s="67" t="s">
        <v>99</v>
      </c>
      <c r="L63" s="156"/>
      <c r="Z63" s="1232"/>
      <c r="AA63" s="1233"/>
      <c r="AB63" s="1233"/>
      <c r="AC63" s="1234"/>
      <c r="AH63" s="159" t="s">
        <v>159</v>
      </c>
      <c r="AI63" s="327">
        <v>0.9</v>
      </c>
      <c r="AJ63" s="159"/>
      <c r="AK63" s="159" t="s">
        <v>159</v>
      </c>
      <c r="AL63" s="185">
        <f>AI63*4.333333333333</f>
        <v>3.8999999999997002</v>
      </c>
      <c r="AM63" s="159"/>
      <c r="AN63" s="159"/>
    </row>
    <row r="64" spans="1:69" ht="13.8" thickBot="1">
      <c r="A64" s="43" t="s">
        <v>102</v>
      </c>
      <c r="D64" s="229">
        <f>D61*12</f>
        <v>15205.855599999997</v>
      </c>
      <c r="E64" s="37" t="s">
        <v>105</v>
      </c>
      <c r="F64" s="774">
        <f>IF(D64=0,0,(D64-J64)/J64)</f>
        <v>0</v>
      </c>
      <c r="H64" s="143" t="s">
        <v>98</v>
      </c>
      <c r="J64" s="229">
        <f>J61*12</f>
        <v>15205.855599999997</v>
      </c>
      <c r="L64" s="322">
        <f>SUM(L36:L46)+SUM(L51:L58)+SUM(L26:L30)</f>
        <v>15205.855599999997</v>
      </c>
      <c r="M64" s="146" t="s">
        <v>509</v>
      </c>
      <c r="N64" s="224"/>
      <c r="O64" s="224"/>
      <c r="Z64" s="1232"/>
      <c r="AA64" s="1233"/>
      <c r="AB64" s="1233"/>
      <c r="AC64" s="1234"/>
      <c r="AH64" s="159" t="s">
        <v>160</v>
      </c>
      <c r="AI64" s="328">
        <v>12.3</v>
      </c>
      <c r="AJ64" s="159"/>
      <c r="AK64" s="159" t="s">
        <v>160</v>
      </c>
      <c r="AL64" s="185">
        <f>AI64*4.333333333333</f>
        <v>53.299999999995904</v>
      </c>
      <c r="AM64" s="159"/>
      <c r="AN64" s="159"/>
    </row>
    <row r="65" spans="1:43" ht="13.8" thickTop="1">
      <c r="I65" s="43"/>
      <c r="J65" s="43"/>
      <c r="K65" s="43"/>
      <c r="L65" s="234"/>
      <c r="M65" s="157"/>
      <c r="N65" s="157"/>
      <c r="O65" s="157"/>
      <c r="P65" s="157"/>
      <c r="Q65" s="157"/>
      <c r="R65" s="157"/>
      <c r="S65" s="157"/>
      <c r="T65" s="157"/>
      <c r="U65" s="157"/>
      <c r="V65" s="157"/>
      <c r="W65" s="157"/>
      <c r="Z65" s="1232"/>
      <c r="AA65" s="1233"/>
      <c r="AB65" s="1233"/>
      <c r="AC65" s="1234"/>
      <c r="AH65" s="157" t="s">
        <v>2</v>
      </c>
      <c r="AI65" s="225">
        <f>SUM(AI61:AI64)</f>
        <v>19</v>
      </c>
      <c r="AJ65" s="159"/>
      <c r="AK65" s="157" t="s">
        <v>2</v>
      </c>
      <c r="AL65" s="225">
        <f>SUM(AL61:AL64)</f>
        <v>82.333333333327005</v>
      </c>
      <c r="AM65" s="159"/>
      <c r="AN65" s="159"/>
    </row>
    <row r="66" spans="1:43">
      <c r="A66" s="226" t="s">
        <v>232</v>
      </c>
      <c r="D66" s="229"/>
      <c r="F66" s="232"/>
      <c r="H66" s="233"/>
      <c r="L66" s="234"/>
      <c r="M66" s="229" t="e">
        <f>U139</f>
        <v>#VALUE!</v>
      </c>
      <c r="N66" s="157"/>
      <c r="O66" s="157"/>
      <c r="P66" s="157"/>
      <c r="Q66" s="563" t="s">
        <v>779</v>
      </c>
      <c r="R66" s="157"/>
      <c r="S66" s="157"/>
      <c r="T66" s="157"/>
      <c r="U66" s="157"/>
      <c r="V66" s="157"/>
      <c r="W66" s="157"/>
      <c r="X66" s="229"/>
      <c r="Z66" s="1235"/>
      <c r="AA66" s="1236"/>
      <c r="AB66" s="1236"/>
      <c r="AC66" s="1237"/>
      <c r="AD66" s="539" t="s">
        <v>822</v>
      </c>
    </row>
    <row r="67" spans="1:43">
      <c r="A67" s="40"/>
      <c r="L67" s="156"/>
      <c r="Q67" s="564" t="e">
        <f>SUM(B72+B73)/G68</f>
        <v>#DIV/0!</v>
      </c>
    </row>
    <row r="68" spans="1:43" ht="12.75" customHeight="1">
      <c r="A68" s="43" t="s">
        <v>530</v>
      </c>
      <c r="C68" s="30" t="s">
        <v>713</v>
      </c>
      <c r="D68" s="645" t="s">
        <v>576</v>
      </c>
      <c r="E68" s="1287" t="s">
        <v>778</v>
      </c>
      <c r="F68" s="1288"/>
      <c r="G68" s="644">
        <v>0</v>
      </c>
      <c r="H68" s="633" t="str">
        <f>IF(G68&gt;0,""," &lt;&lt;&lt; IMPORTANT - MUST BE COMPLETED")</f>
        <v xml:space="preserve"> &lt;&lt;&lt; IMPORTANT - MUST BE COMPLETED</v>
      </c>
      <c r="L68" s="156"/>
    </row>
    <row r="69" spans="1:43" ht="12.75" customHeight="1">
      <c r="A69" s="40"/>
      <c r="L69" s="156"/>
      <c r="X69" s="1295" t="s">
        <v>870</v>
      </c>
      <c r="Y69" s="1296"/>
      <c r="Z69" s="1297"/>
      <c r="AL69" s="1026" t="s">
        <v>864</v>
      </c>
      <c r="AM69" s="383" t="s">
        <v>869</v>
      </c>
      <c r="AN69" s="383"/>
    </row>
    <row r="70" spans="1:43">
      <c r="A70" s="721" t="s">
        <v>874</v>
      </c>
      <c r="B70" s="43"/>
      <c r="C70" s="236"/>
      <c r="D70" s="43"/>
      <c r="E70" s="233"/>
      <c r="F70" s="233"/>
      <c r="G70" s="233"/>
      <c r="I70" s="237"/>
      <c r="J70" s="237"/>
      <c r="K70" s="237"/>
      <c r="L70" s="238"/>
      <c r="N70" s="1290" t="s">
        <v>126</v>
      </c>
      <c r="O70" s="1290"/>
      <c r="P70" s="1290"/>
      <c r="S70" s="697" t="s">
        <v>129</v>
      </c>
      <c r="T70" s="698"/>
      <c r="U70" s="329"/>
      <c r="V70" s="329"/>
      <c r="W70" s="329"/>
      <c r="AL70" s="1027">
        <v>7.9399999999999998E-2</v>
      </c>
      <c r="AM70" s="708">
        <f>SUM(AL70)*100</f>
        <v>7.9399999999999995</v>
      </c>
      <c r="AN70" s="383"/>
      <c r="AO70" s="732" t="s">
        <v>904</v>
      </c>
      <c r="AP70" s="1028"/>
      <c r="AQ70" s="1029"/>
    </row>
    <row r="71" spans="1:43" ht="38.4" customHeight="1">
      <c r="A71" s="330" t="s">
        <v>124</v>
      </c>
      <c r="B71" s="330" t="s">
        <v>51</v>
      </c>
      <c r="C71" s="331" t="s">
        <v>868</v>
      </c>
      <c r="D71" s="331" t="s">
        <v>694</v>
      </c>
      <c r="E71" s="330" t="s">
        <v>457</v>
      </c>
      <c r="F71" s="260" t="s">
        <v>627</v>
      </c>
      <c r="G71" s="260" t="s">
        <v>128</v>
      </c>
      <c r="H71" s="260" t="s">
        <v>199</v>
      </c>
      <c r="I71" s="330" t="s">
        <v>867</v>
      </c>
      <c r="J71" s="1030" t="str">
        <f>"SVR Reversion CMS @ "&amp; (AM70)&amp;"%"</f>
        <v>SVR Reversion CMS @ 7.94%</v>
      </c>
      <c r="K71" s="1031"/>
      <c r="L71" s="693" t="s">
        <v>167</v>
      </c>
      <c r="M71" s="694" t="s">
        <v>15</v>
      </c>
      <c r="N71" s="695" t="s">
        <v>861</v>
      </c>
      <c r="O71" s="1032" t="s">
        <v>862</v>
      </c>
      <c r="P71" s="1032" t="s">
        <v>863</v>
      </c>
      <c r="Q71" s="1032" t="s">
        <v>865</v>
      </c>
      <c r="S71" s="1033" t="s">
        <v>866</v>
      </c>
      <c r="T71" s="332"/>
      <c r="U71" s="1034" t="s">
        <v>871</v>
      </c>
      <c r="V71" s="332"/>
      <c r="W71" s="332" t="s">
        <v>130</v>
      </c>
      <c r="X71" s="714" t="s">
        <v>129</v>
      </c>
      <c r="Z71" s="714" t="s">
        <v>495</v>
      </c>
      <c r="AB71" s="1291" t="str">
        <f>IF(AC76=0,"Complete deposit type below ","")</f>
        <v xml:space="preserve">Complete deposit type below </v>
      </c>
      <c r="AC71" s="1291"/>
      <c r="AH71" s="333" t="s">
        <v>543</v>
      </c>
      <c r="AI71" s="333" t="s">
        <v>544</v>
      </c>
      <c r="AJ71" s="333" t="s">
        <v>546</v>
      </c>
      <c r="AK71" s="333" t="s">
        <v>545</v>
      </c>
      <c r="AL71" s="1035" t="s">
        <v>862</v>
      </c>
    </row>
    <row r="72" spans="1:43">
      <c r="A72" s="334" t="s">
        <v>547</v>
      </c>
      <c r="B72" s="733"/>
      <c r="C72" s="642"/>
      <c r="D72" s="642"/>
      <c r="E72" s="643"/>
      <c r="F72" s="734"/>
      <c r="G72" s="735"/>
      <c r="H72" s="334" t="s">
        <v>547</v>
      </c>
      <c r="I72" s="335">
        <f>IF(E72=0,0,IF(H72=$AG$73,AH72,AI72))</f>
        <v>0</v>
      </c>
      <c r="J72" s="719">
        <f>(IF(B72=0,0,AL72))</f>
        <v>0</v>
      </c>
      <c r="K72" s="706"/>
      <c r="L72" s="688">
        <f t="shared" ref="L72:L79" si="7">B72</f>
        <v>0</v>
      </c>
      <c r="M72" s="689">
        <f>C72+(D72/12)</f>
        <v>0</v>
      </c>
      <c r="N72" s="692" t="e">
        <f>PMT(E72/12,(M72)*12,-L72)</f>
        <v>#NUM!</v>
      </c>
      <c r="O72" s="691">
        <f>IF(G72="",0,IF(G72="SVR",0,IF(G72="Term Discount",0,IF(H72="Interest-only",(P72*$AL$70)/12,IF(H72="Repayment",PMT($AL$70/12,(M72-G72)*12,-P72))))))</f>
        <v>0</v>
      </c>
      <c r="P72" s="690" t="e">
        <f t="shared" ref="P72:P79" si="8">IF((B72*(1+(E72/12))^(G72*12)-(I72*((((1+(E72/12))^(G72*12))-1)/(E72/12))))&lt;0,0,(B72*(1+(E72/12))^(G72*12)-(I72*((((1+(E72/12))^(G72*12))-1)/(E72/12)))))</f>
        <v>#DIV/0!</v>
      </c>
      <c r="Q72" s="462" t="b">
        <f>IF(G72="SVR",0,IF(G72="Term Discount",0,IF(G72=2,P72,IF(G72=3,P72,IF(G72=5,P72)))))</f>
        <v>0</v>
      </c>
      <c r="S72" s="696" t="e">
        <f t="shared" ref="S72:S79" si="9">PMT(X72/12,(M72)*12,-B72)</f>
        <v>#VALUE!</v>
      </c>
      <c r="T72" s="148"/>
      <c r="U72" s="690">
        <f>IF(H72="Repayment",0,IF(H72="Interest-only",B72))</f>
        <v>0</v>
      </c>
      <c r="V72" s="336"/>
      <c r="W72" s="147" t="str">
        <f t="shared" ref="W72:W79" si="10">IF(F72&lt;&gt;"Fixed","No",IF(G72&lt;&gt;5,"No","Yes"))</f>
        <v>No</v>
      </c>
      <c r="X72" s="715" t="str">
        <f>IF(E72=0,"",IF(E72="","",IF(W72="Yes",E72,IF(E72+1%&gt;$P$8+1%,E72+1%,$P$8+1%))))</f>
        <v/>
      </c>
      <c r="Z72" s="717">
        <f t="shared" ref="Z72:Z79" si="11">IF(H72=$AG$73,AK72,AJ72)</f>
        <v>0</v>
      </c>
      <c r="AB72" s="703" t="s">
        <v>790</v>
      </c>
      <c r="AC72" s="704" t="s">
        <v>51</v>
      </c>
      <c r="AG72" s="159" t="s">
        <v>547</v>
      </c>
      <c r="AH72" s="337" t="str">
        <f t="shared" ref="AH72:AH79" si="12">IF(B72=0,"",(B72*E72)/12)</f>
        <v/>
      </c>
      <c r="AI72" s="337">
        <f>IF(B72="",0,IF(B72=0,0,N72))</f>
        <v>0</v>
      </c>
      <c r="AJ72" s="337">
        <f t="shared" ref="AJ72:AJ79" si="13">IF(B72="",0,IF(B72=0,0,S72))</f>
        <v>0</v>
      </c>
      <c r="AK72" s="337" t="str">
        <f t="shared" ref="AK72:AK79" si="14">IF(B72=0,"",(B72*X72)/12)</f>
        <v/>
      </c>
      <c r="AL72" s="699">
        <f>IF(I72=0,0,IF(G72="SVR","Not applicable",IF(G72="Term Discount","Not applicable",O72)))</f>
        <v>0</v>
      </c>
    </row>
    <row r="73" spans="1:43" ht="14.4" customHeight="1">
      <c r="A73" s="334" t="s">
        <v>172</v>
      </c>
      <c r="B73" s="733"/>
      <c r="C73" s="642"/>
      <c r="D73" s="642"/>
      <c r="E73" s="643"/>
      <c r="F73" s="734"/>
      <c r="G73" s="735"/>
      <c r="H73" s="334" t="s">
        <v>172</v>
      </c>
      <c r="I73" s="335">
        <f>IF(E73=0,0,IF(H73=$AG$73,AH73,AI73))</f>
        <v>0</v>
      </c>
      <c r="J73" s="719">
        <f>(IF(B73=0,0,AL73))</f>
        <v>0</v>
      </c>
      <c r="K73" s="706"/>
      <c r="L73" s="688">
        <f t="shared" si="7"/>
        <v>0</v>
      </c>
      <c r="M73" s="689">
        <f t="shared" ref="M73:M79" si="15">C73+(D73/12)</f>
        <v>0</v>
      </c>
      <c r="N73" s="692" t="e">
        <f t="shared" ref="N73:N79" si="16">PMT(E73/12,(M73)*12,-L73)</f>
        <v>#NUM!</v>
      </c>
      <c r="O73" s="691">
        <f>IF(G73="",0,IF(G73="SVR",0,IF(G73="Term Discount",0,IF(H73="Interest-only",(P73*$AL$70)/12,IF(H73="Repayment",PMT($AL$70/12,(M73-G73)*12,-P73))))))</f>
        <v>0</v>
      </c>
      <c r="P73" s="690" t="e">
        <f t="shared" si="8"/>
        <v>#DIV/0!</v>
      </c>
      <c r="Q73" s="462" t="b">
        <f t="shared" ref="Q73:Q79" si="17">IF(G73="SVR",0,IF(G73="Term Discount",0,IF(G73=2,P73,IF(G73=3,P73,IF(G73=5,P73)))))</f>
        <v>0</v>
      </c>
      <c r="S73" s="696" t="e">
        <f t="shared" si="9"/>
        <v>#VALUE!</v>
      </c>
      <c r="U73" s="690">
        <f t="shared" ref="U73:U79" si="18">IF(H73="Repayment",0,IF(H73="Interest-only",B73))</f>
        <v>0</v>
      </c>
      <c r="V73" s="336"/>
      <c r="W73" s="147" t="str">
        <f t="shared" si="10"/>
        <v>No</v>
      </c>
      <c r="X73" s="715" t="str">
        <f t="shared" ref="X73:X79" si="19">IF(E73=0,"",IF(E73="","",IF(W73="Yes",E73,IF(E73+1%&gt;$P$8+1%,E73+1%,$P$8+1%))))</f>
        <v/>
      </c>
      <c r="Z73" s="717" t="str">
        <f>IF(H73=$AG$73,AK73,AJ73)</f>
        <v/>
      </c>
      <c r="AB73" s="701" t="s">
        <v>791</v>
      </c>
      <c r="AC73" s="549">
        <v>0</v>
      </c>
      <c r="AG73" s="159" t="s">
        <v>172</v>
      </c>
      <c r="AH73" s="337" t="str">
        <f>IF(B73=0,"",(B73*E73)/12)</f>
        <v/>
      </c>
      <c r="AI73" s="337">
        <f t="shared" ref="AI73:AI79" si="20">IF(B73="",0,IF(B73=0,0,N73))</f>
        <v>0</v>
      </c>
      <c r="AJ73" s="337">
        <f t="shared" si="13"/>
        <v>0</v>
      </c>
      <c r="AK73" s="337" t="str">
        <f t="shared" si="14"/>
        <v/>
      </c>
      <c r="AL73" s="699">
        <f t="shared" ref="AL73:AL79" si="21">IF(I73=0,0,IF(G73="SVR","Not applicable",IF(G73="Term Discount","Not applicable",O73)))</f>
        <v>0</v>
      </c>
    </row>
    <row r="74" spans="1:43">
      <c r="A74" s="334">
        <v>2</v>
      </c>
      <c r="B74" s="733"/>
      <c r="C74" s="642"/>
      <c r="D74" s="642"/>
      <c r="E74" s="643"/>
      <c r="F74" s="734"/>
      <c r="G74" s="735"/>
      <c r="H74" s="1038"/>
      <c r="I74" s="335">
        <f t="shared" ref="I74:I79" si="22">IF(E74=0,0,IF(H74=$AG$73,AH74,AI74))</f>
        <v>0</v>
      </c>
      <c r="J74" s="719">
        <f t="shared" ref="J74:J79" si="23">(IF(B74=0,0,AL74))</f>
        <v>0</v>
      </c>
      <c r="K74" s="706"/>
      <c r="L74" s="688">
        <f t="shared" si="7"/>
        <v>0</v>
      </c>
      <c r="M74" s="689">
        <f>C74+(D74/12)</f>
        <v>0</v>
      </c>
      <c r="N74" s="692" t="e">
        <f t="shared" si="16"/>
        <v>#NUM!</v>
      </c>
      <c r="O74" s="691">
        <f t="shared" ref="O74:O79" si="24">IF(G74="",0,IF(G74="SVR",0,IF(G74="Term Discount",0,IF(H74="Interest-only",(P74*$AL$70)/12,IF(H74="Repayment",PMT($AL$70/12,(M74-G74)*12,-P74))))))</f>
        <v>0</v>
      </c>
      <c r="P74" s="690" t="e">
        <f t="shared" si="8"/>
        <v>#DIV/0!</v>
      </c>
      <c r="Q74" s="462" t="b">
        <f t="shared" si="17"/>
        <v>0</v>
      </c>
      <c r="S74" s="696" t="e">
        <f t="shared" si="9"/>
        <v>#VALUE!</v>
      </c>
      <c r="U74" s="690" t="b">
        <f t="shared" si="18"/>
        <v>0</v>
      </c>
      <c r="V74" s="336"/>
      <c r="W74" s="147" t="str">
        <f t="shared" si="10"/>
        <v>No</v>
      </c>
      <c r="X74" s="715" t="str">
        <f t="shared" si="19"/>
        <v/>
      </c>
      <c r="Z74" s="717">
        <f t="shared" si="11"/>
        <v>0</v>
      </c>
      <c r="AB74" s="701" t="s">
        <v>792</v>
      </c>
      <c r="AC74" s="549">
        <v>0</v>
      </c>
      <c r="AH74" s="337" t="str">
        <f t="shared" si="12"/>
        <v/>
      </c>
      <c r="AI74" s="337">
        <f t="shared" si="20"/>
        <v>0</v>
      </c>
      <c r="AJ74" s="337">
        <f t="shared" si="13"/>
        <v>0</v>
      </c>
      <c r="AK74" s="337" t="str">
        <f t="shared" si="14"/>
        <v/>
      </c>
      <c r="AL74" s="699">
        <f t="shared" si="21"/>
        <v>0</v>
      </c>
    </row>
    <row r="75" spans="1:43">
      <c r="A75" s="334">
        <v>3</v>
      </c>
      <c r="B75" s="733"/>
      <c r="C75" s="642"/>
      <c r="D75" s="642"/>
      <c r="E75" s="643"/>
      <c r="F75" s="734"/>
      <c r="G75" s="735"/>
      <c r="H75" s="1038"/>
      <c r="I75" s="335">
        <f t="shared" si="22"/>
        <v>0</v>
      </c>
      <c r="J75" s="719">
        <f t="shared" si="23"/>
        <v>0</v>
      </c>
      <c r="K75" s="706"/>
      <c r="L75" s="688">
        <f t="shared" si="7"/>
        <v>0</v>
      </c>
      <c r="M75" s="689">
        <f t="shared" si="15"/>
        <v>0</v>
      </c>
      <c r="N75" s="692" t="e">
        <f t="shared" si="16"/>
        <v>#NUM!</v>
      </c>
      <c r="O75" s="691">
        <f t="shared" si="24"/>
        <v>0</v>
      </c>
      <c r="P75" s="690" t="e">
        <f t="shared" si="8"/>
        <v>#DIV/0!</v>
      </c>
      <c r="Q75" s="462" t="b">
        <f t="shared" si="17"/>
        <v>0</v>
      </c>
      <c r="S75" s="696" t="e">
        <f t="shared" si="9"/>
        <v>#VALUE!</v>
      </c>
      <c r="U75" s="690" t="b">
        <f t="shared" si="18"/>
        <v>0</v>
      </c>
      <c r="V75" s="336"/>
      <c r="W75" s="147" t="str">
        <f t="shared" si="10"/>
        <v>No</v>
      </c>
      <c r="X75" s="715" t="str">
        <f t="shared" si="19"/>
        <v/>
      </c>
      <c r="Z75" s="717">
        <f t="shared" si="11"/>
        <v>0</v>
      </c>
      <c r="AB75" s="701" t="s">
        <v>793</v>
      </c>
      <c r="AC75" s="549">
        <v>0</v>
      </c>
      <c r="AH75" s="337" t="str">
        <f t="shared" si="12"/>
        <v/>
      </c>
      <c r="AI75" s="337">
        <f t="shared" si="20"/>
        <v>0</v>
      </c>
      <c r="AJ75" s="337">
        <f t="shared" si="13"/>
        <v>0</v>
      </c>
      <c r="AK75" s="337" t="str">
        <f t="shared" si="14"/>
        <v/>
      </c>
      <c r="AL75" s="699">
        <f t="shared" si="21"/>
        <v>0</v>
      </c>
    </row>
    <row r="76" spans="1:43">
      <c r="A76" s="334">
        <v>4</v>
      </c>
      <c r="B76" s="733"/>
      <c r="C76" s="642"/>
      <c r="D76" s="642"/>
      <c r="E76" s="643"/>
      <c r="F76" s="734"/>
      <c r="G76" s="735"/>
      <c r="H76" s="1038"/>
      <c r="I76" s="335">
        <f t="shared" si="22"/>
        <v>0</v>
      </c>
      <c r="J76" s="719">
        <f t="shared" si="23"/>
        <v>0</v>
      </c>
      <c r="K76" s="706"/>
      <c r="L76" s="688">
        <f t="shared" si="7"/>
        <v>0</v>
      </c>
      <c r="M76" s="689">
        <f t="shared" si="15"/>
        <v>0</v>
      </c>
      <c r="N76" s="692" t="e">
        <f t="shared" si="16"/>
        <v>#NUM!</v>
      </c>
      <c r="O76" s="691">
        <f t="shared" si="24"/>
        <v>0</v>
      </c>
      <c r="P76" s="690" t="e">
        <f t="shared" si="8"/>
        <v>#DIV/0!</v>
      </c>
      <c r="Q76" s="462" t="b">
        <f t="shared" si="17"/>
        <v>0</v>
      </c>
      <c r="S76" s="696" t="e">
        <f t="shared" si="9"/>
        <v>#VALUE!</v>
      </c>
      <c r="U76" s="690" t="b">
        <f t="shared" si="18"/>
        <v>0</v>
      </c>
      <c r="V76" s="336"/>
      <c r="W76" s="147" t="str">
        <f t="shared" si="10"/>
        <v>No</v>
      </c>
      <c r="X76" s="715" t="str">
        <f t="shared" si="19"/>
        <v/>
      </c>
      <c r="Z76" s="717">
        <f t="shared" si="11"/>
        <v>0</v>
      </c>
      <c r="AB76" s="701" t="s">
        <v>841</v>
      </c>
      <c r="AC76" s="548">
        <f>SUM(AC73:AC75)</f>
        <v>0</v>
      </c>
      <c r="AH76" s="337" t="str">
        <f t="shared" si="12"/>
        <v/>
      </c>
      <c r="AI76" s="337">
        <f t="shared" si="20"/>
        <v>0</v>
      </c>
      <c r="AJ76" s="337">
        <f t="shared" si="13"/>
        <v>0</v>
      </c>
      <c r="AK76" s="337" t="str">
        <f t="shared" si="14"/>
        <v/>
      </c>
      <c r="AL76" s="699">
        <f t="shared" si="21"/>
        <v>0</v>
      </c>
    </row>
    <row r="77" spans="1:43">
      <c r="A77" s="334">
        <v>5</v>
      </c>
      <c r="B77" s="733"/>
      <c r="C77" s="642"/>
      <c r="D77" s="642"/>
      <c r="E77" s="643"/>
      <c r="F77" s="734"/>
      <c r="G77" s="735"/>
      <c r="H77" s="1038"/>
      <c r="I77" s="335">
        <f t="shared" si="22"/>
        <v>0</v>
      </c>
      <c r="J77" s="719">
        <f t="shared" si="23"/>
        <v>0</v>
      </c>
      <c r="K77" s="706"/>
      <c r="L77" s="688">
        <f t="shared" si="7"/>
        <v>0</v>
      </c>
      <c r="M77" s="689">
        <f t="shared" si="15"/>
        <v>0</v>
      </c>
      <c r="N77" s="692" t="e">
        <f t="shared" si="16"/>
        <v>#NUM!</v>
      </c>
      <c r="O77" s="691">
        <f t="shared" si="24"/>
        <v>0</v>
      </c>
      <c r="P77" s="690" t="e">
        <f t="shared" si="8"/>
        <v>#DIV/0!</v>
      </c>
      <c r="Q77" s="462" t="b">
        <f t="shared" si="17"/>
        <v>0</v>
      </c>
      <c r="S77" s="696" t="e">
        <f t="shared" si="9"/>
        <v>#VALUE!</v>
      </c>
      <c r="U77" s="690" t="b">
        <f t="shared" si="18"/>
        <v>0</v>
      </c>
      <c r="V77" s="336"/>
      <c r="W77" s="147" t="str">
        <f t="shared" si="10"/>
        <v>No</v>
      </c>
      <c r="X77" s="715" t="str">
        <f t="shared" si="19"/>
        <v/>
      </c>
      <c r="Z77" s="717">
        <f t="shared" si="11"/>
        <v>0</v>
      </c>
      <c r="AH77" s="337" t="str">
        <f t="shared" si="12"/>
        <v/>
      </c>
      <c r="AI77" s="337">
        <f t="shared" si="20"/>
        <v>0</v>
      </c>
      <c r="AJ77" s="337">
        <f t="shared" si="13"/>
        <v>0</v>
      </c>
      <c r="AK77" s="337" t="str">
        <f t="shared" si="14"/>
        <v/>
      </c>
      <c r="AL77" s="699">
        <f t="shared" si="21"/>
        <v>0</v>
      </c>
    </row>
    <row r="78" spans="1:43">
      <c r="A78" s="334">
        <v>6</v>
      </c>
      <c r="B78" s="733"/>
      <c r="C78" s="642"/>
      <c r="D78" s="642"/>
      <c r="E78" s="643"/>
      <c r="F78" s="734"/>
      <c r="G78" s="735"/>
      <c r="H78" s="1038"/>
      <c r="I78" s="335">
        <f t="shared" si="22"/>
        <v>0</v>
      </c>
      <c r="J78" s="719">
        <f t="shared" si="23"/>
        <v>0</v>
      </c>
      <c r="K78" s="706"/>
      <c r="L78" s="688">
        <f t="shared" si="7"/>
        <v>0</v>
      </c>
      <c r="M78" s="689">
        <f t="shared" si="15"/>
        <v>0</v>
      </c>
      <c r="N78" s="692" t="e">
        <f t="shared" si="16"/>
        <v>#NUM!</v>
      </c>
      <c r="O78" s="691">
        <f t="shared" si="24"/>
        <v>0</v>
      </c>
      <c r="P78" s="690" t="e">
        <f t="shared" si="8"/>
        <v>#DIV/0!</v>
      </c>
      <c r="Q78" s="462" t="b">
        <f t="shared" si="17"/>
        <v>0</v>
      </c>
      <c r="S78" s="696" t="e">
        <f t="shared" si="9"/>
        <v>#VALUE!</v>
      </c>
      <c r="U78" s="690" t="b">
        <f t="shared" si="18"/>
        <v>0</v>
      </c>
      <c r="V78" s="336"/>
      <c r="W78" s="147" t="str">
        <f t="shared" si="10"/>
        <v>No</v>
      </c>
      <c r="X78" s="715" t="str">
        <f t="shared" si="19"/>
        <v/>
      </c>
      <c r="Z78" s="717">
        <f t="shared" si="11"/>
        <v>0</v>
      </c>
      <c r="AB78" s="1292" t="s">
        <v>789</v>
      </c>
      <c r="AC78" s="1292"/>
      <c r="AH78" s="337" t="str">
        <f t="shared" si="12"/>
        <v/>
      </c>
      <c r="AI78" s="337">
        <f t="shared" si="20"/>
        <v>0</v>
      </c>
      <c r="AJ78" s="337">
        <f t="shared" si="13"/>
        <v>0</v>
      </c>
      <c r="AK78" s="337" t="str">
        <f t="shared" si="14"/>
        <v/>
      </c>
      <c r="AL78" s="699">
        <f t="shared" si="21"/>
        <v>0</v>
      </c>
    </row>
    <row r="79" spans="1:43">
      <c r="A79" s="334">
        <v>7</v>
      </c>
      <c r="B79" s="733"/>
      <c r="C79" s="642"/>
      <c r="D79" s="642"/>
      <c r="E79" s="643"/>
      <c r="F79" s="734"/>
      <c r="G79" s="735"/>
      <c r="H79" s="1038"/>
      <c r="I79" s="335">
        <f t="shared" si="22"/>
        <v>0</v>
      </c>
      <c r="J79" s="719">
        <f t="shared" si="23"/>
        <v>0</v>
      </c>
      <c r="K79" s="706"/>
      <c r="L79" s="688">
        <f t="shared" si="7"/>
        <v>0</v>
      </c>
      <c r="M79" s="689">
        <f t="shared" si="15"/>
        <v>0</v>
      </c>
      <c r="N79" s="692" t="e">
        <f t="shared" si="16"/>
        <v>#NUM!</v>
      </c>
      <c r="O79" s="691">
        <f t="shared" si="24"/>
        <v>0</v>
      </c>
      <c r="P79" s="690" t="e">
        <f t="shared" si="8"/>
        <v>#DIV/0!</v>
      </c>
      <c r="Q79" s="462" t="b">
        <f t="shared" si="17"/>
        <v>0</v>
      </c>
      <c r="S79" s="696" t="e">
        <f t="shared" si="9"/>
        <v>#VALUE!</v>
      </c>
      <c r="U79" s="690" t="b">
        <f t="shared" si="18"/>
        <v>0</v>
      </c>
      <c r="V79" s="336"/>
      <c r="W79" s="147" t="str">
        <f t="shared" si="10"/>
        <v>No</v>
      </c>
      <c r="X79" s="715" t="str">
        <f t="shared" si="19"/>
        <v/>
      </c>
      <c r="Z79" s="717">
        <f t="shared" si="11"/>
        <v>0</v>
      </c>
      <c r="AB79" s="1293" t="str">
        <f>IF(AC76=0,"",(G68-AC76)/G68)</f>
        <v/>
      </c>
      <c r="AC79" s="1294"/>
      <c r="AH79" s="337" t="str">
        <f t="shared" si="12"/>
        <v/>
      </c>
      <c r="AI79" s="337">
        <f t="shared" si="20"/>
        <v>0</v>
      </c>
      <c r="AJ79" s="337">
        <f t="shared" si="13"/>
        <v>0</v>
      </c>
      <c r="AK79" s="337" t="str">
        <f t="shared" si="14"/>
        <v/>
      </c>
      <c r="AL79" s="699">
        <f t="shared" si="21"/>
        <v>0</v>
      </c>
    </row>
    <row r="80" spans="1:43" ht="12.6" customHeight="1">
      <c r="A80" s="39"/>
      <c r="B80" s="338">
        <f>SUM(B72:B79)</f>
        <v>0</v>
      </c>
      <c r="C80" s="339"/>
      <c r="D80" s="339"/>
      <c r="E80" s="39"/>
      <c r="F80" s="339"/>
      <c r="G80" s="39"/>
      <c r="H80" s="39"/>
      <c r="I80" s="335">
        <f>SUM(I72:I79)</f>
        <v>0</v>
      </c>
      <c r="J80" s="720" t="str">
        <f>IF(AL80=0,"Not applicable",AL80)</f>
        <v>Not applicable</v>
      </c>
      <c r="K80" s="707"/>
      <c r="L80" s="156"/>
      <c r="X80" s="716" t="s">
        <v>2</v>
      </c>
      <c r="Z80" s="717">
        <f>SUM(Z72:Z79)</f>
        <v>0</v>
      </c>
      <c r="AH80" s="337">
        <f>SUM(AH72:AH79)</f>
        <v>0</v>
      </c>
      <c r="AI80" s="337">
        <f>SUM(AI72:AI79)</f>
        <v>0</v>
      </c>
      <c r="AJ80" s="337">
        <f>SUM(AJ72:AJ79)</f>
        <v>0</v>
      </c>
      <c r="AK80" s="337">
        <f>SUM(AK72:AK79)</f>
        <v>0</v>
      </c>
      <c r="AL80" s="700">
        <f>SUM(AL72:AL79)</f>
        <v>0</v>
      </c>
    </row>
    <row r="81" spans="1:70" ht="15.6" thickBot="1">
      <c r="A81" s="561" t="str">
        <f>IF(I80=0,"",IF(B80&lt;=U139,"",IF(R139=R132,"IMPORTANT - the maximum loan permitted on a Capital Repayment basis cannot exceed £"&amp;FLOOR(W132,1),IF(R139=R133,"IMPORTANT - the maximum loan permitted on an Interest-only basis cannot exceed £"&amp;FLOOR(W133,1),IF(R139=R134,"IMPORTANT - the maximum loan permitted on a Part &amp; Part basis cannot exceed £"&amp;FLOOR(W134,1))))))</f>
        <v/>
      </c>
      <c r="L81" s="156"/>
      <c r="U81" s="713">
        <f>SUM(U72:U79)</f>
        <v>0</v>
      </c>
    </row>
    <row r="82" spans="1:70">
      <c r="H82" s="240"/>
      <c r="J82" s="240" t="str">
        <f>IF(U81&gt;0,"This loan includes an Interest only amount of £"&amp; (U81),"")</f>
        <v/>
      </c>
      <c r="L82" s="157" t="s">
        <v>443</v>
      </c>
      <c r="R82" s="43" t="str">
        <f>IF(E72="","","The maximum loan permissable on a "&amp;(D68)&amp;" basis is £"&amp;(U139))</f>
        <v/>
      </c>
    </row>
    <row r="83" spans="1:70">
      <c r="A83" s="37" t="s">
        <v>755</v>
      </c>
      <c r="C83" s="722" t="str">
        <f>D68</f>
        <v>Capital Repayment</v>
      </c>
      <c r="D83" s="340" t="str">
        <f>IF(I80=0,"",IF(B80&gt;U139,T86,U91))</f>
        <v/>
      </c>
      <c r="E83" s="43" t="str">
        <f>IF(I80=0,"",IF(D83="REVIEW","Please review the loan amount",IF(D83="PASS","The loan is currently affordable",IF(D83="FAIL","This has failed on current affordability"))))</f>
        <v/>
      </c>
      <c r="F83" s="37"/>
      <c r="T83" s="224"/>
      <c r="U83" s="224"/>
      <c r="V83" s="224"/>
      <c r="W83" s="224"/>
      <c r="AD83" s="98" t="str">
        <f>IF(E72=0,"",IF(AA14+AA23=0,AD283,AD280))</f>
        <v/>
      </c>
    </row>
    <row r="84" spans="1:70">
      <c r="D84" s="37"/>
      <c r="L84" s="37"/>
      <c r="M84" s="37"/>
      <c r="N84" s="37"/>
      <c r="O84" s="141" t="s">
        <v>7</v>
      </c>
      <c r="P84" s="37"/>
      <c r="Q84" s="242" t="s">
        <v>5</v>
      </c>
      <c r="S84" s="159" t="s">
        <v>200</v>
      </c>
      <c r="T84" s="32" t="s">
        <v>482</v>
      </c>
      <c r="U84" s="224"/>
      <c r="V84" s="224"/>
      <c r="W84" s="224"/>
    </row>
    <row r="85" spans="1:70">
      <c r="A85" s="559" t="s">
        <v>832</v>
      </c>
      <c r="D85" s="344" t="str">
        <f>IF(I80=0,"",BA186)</f>
        <v/>
      </c>
      <c r="E85" s="43" t="str">
        <f>IF(I80=0,"",BD186)</f>
        <v/>
      </c>
      <c r="L85" s="40" t="s">
        <v>184</v>
      </c>
      <c r="M85" s="40"/>
      <c r="N85" s="40"/>
      <c r="O85" s="335">
        <f>SUM(Q85/12)</f>
        <v>0</v>
      </c>
      <c r="P85" s="37"/>
      <c r="Q85" s="339">
        <f>SUM(L9:L17)</f>
        <v>0</v>
      </c>
      <c r="S85" s="159" t="s">
        <v>193</v>
      </c>
      <c r="T85" s="153" t="s">
        <v>483</v>
      </c>
      <c r="U85" s="250"/>
      <c r="V85" s="250"/>
      <c r="W85" s="250"/>
      <c r="AC85" s="40"/>
      <c r="AD85" s="568" t="str">
        <f>IF('Income &amp; Committed Expenditure'!Q109=0,"",IF(AG276=AG196,"IMPORTANT - THE OCCUPYING BORROWERS MAY REQUIRE THE FULL ASSISTANCE OF THE SUPPORTING BORROWERS FOR THE FULL TERM OF THE MORTGAGE",""))</f>
        <v/>
      </c>
    </row>
    <row r="86" spans="1:70">
      <c r="D86" s="37"/>
      <c r="G86" s="66" t="s">
        <v>26</v>
      </c>
      <c r="L86" s="40" t="s">
        <v>442</v>
      </c>
      <c r="M86" s="40"/>
      <c r="N86" s="40"/>
      <c r="O86" s="335">
        <f>SUM(Q86/12)</f>
        <v>1267.1546333333331</v>
      </c>
      <c r="P86" s="37"/>
      <c r="Q86" s="339">
        <f>L64</f>
        <v>15205.855599999997</v>
      </c>
      <c r="S86" s="146"/>
      <c r="T86" s="153" t="s">
        <v>768</v>
      </c>
      <c r="U86" s="147"/>
      <c r="V86" s="147"/>
      <c r="W86" s="147"/>
      <c r="AG86" s="341"/>
      <c r="AH86" s="342"/>
      <c r="AI86" s="342"/>
      <c r="AJ86" s="342"/>
      <c r="AK86" s="342"/>
      <c r="AL86" s="343"/>
    </row>
    <row r="87" spans="1:70">
      <c r="A87" s="559" t="s">
        <v>833</v>
      </c>
      <c r="D87" s="141" t="str">
        <f>IF(I80=0,"",BD195)</f>
        <v/>
      </c>
      <c r="E87" s="43" t="str">
        <f>IF(I80=0,"",BD194)</f>
        <v/>
      </c>
      <c r="L87" s="40" t="str">
        <f>IF(O87&lt;0,"The applicant has no disposable income","Disposable left over income")</f>
        <v>The applicant has no disposable income</v>
      </c>
      <c r="M87" s="40"/>
      <c r="N87" s="40"/>
      <c r="O87" s="223">
        <f>SUM(O85-O86)</f>
        <v>-1267.1546333333331</v>
      </c>
      <c r="P87" s="40"/>
      <c r="Q87" s="339">
        <f>SUM(Q85-Q86)</f>
        <v>-15205.855599999997</v>
      </c>
      <c r="U87" s="147"/>
      <c r="V87" s="147"/>
      <c r="W87" s="147"/>
      <c r="AG87" s="345"/>
      <c r="AH87" s="346"/>
      <c r="AI87" s="347"/>
      <c r="AJ87" s="348"/>
      <c r="AK87" s="349"/>
      <c r="AL87" s="350"/>
    </row>
    <row r="88" spans="1:70">
      <c r="B88" s="40"/>
      <c r="L88" s="40" t="str">
        <f>IF(O87&lt;0,"Plus 10% to anticipate increased expenditure","Less 10% of disposable income")</f>
        <v>Plus 10% to anticipate increased expenditure</v>
      </c>
      <c r="M88" s="40"/>
      <c r="N88" s="40"/>
      <c r="O88" s="265">
        <f>SUM(O87*10%)</f>
        <v>-126.71546333333332</v>
      </c>
      <c r="P88" s="40"/>
      <c r="Q88" s="265">
        <f>SUM(Q87*10%)</f>
        <v>-1520.5855599999998</v>
      </c>
      <c r="U88" s="147"/>
      <c r="V88" s="147"/>
      <c r="AG88" s="351"/>
      <c r="AH88" s="347"/>
      <c r="AI88" s="347"/>
      <c r="AJ88" s="352"/>
      <c r="AK88" s="347"/>
      <c r="AL88" s="350"/>
      <c r="AV88" s="139" t="s">
        <v>26</v>
      </c>
    </row>
    <row r="89" spans="1:70">
      <c r="A89" s="43" t="s">
        <v>834</v>
      </c>
      <c r="F89" s="37"/>
      <c r="G89" s="37"/>
      <c r="H89" s="37"/>
      <c r="L89" s="43" t="str">
        <f>IF(O89&lt;=0,"Applicant has no disposable income","Applicant - 90% of Disposable Monthly Income")</f>
        <v>Applicant has no disposable income</v>
      </c>
      <c r="M89" s="40"/>
      <c r="N89" s="40"/>
      <c r="O89" s="353">
        <f>IF(O87&gt;0,O87-O88,O87+O88)</f>
        <v>-1393.8700966666663</v>
      </c>
      <c r="P89" s="40"/>
      <c r="Q89" s="353">
        <f>IF(Q87&gt;0,Q87-Q88,Q87+Q88)</f>
        <v>-16726.441159999998</v>
      </c>
      <c r="U89" s="147"/>
      <c r="V89" s="147"/>
      <c r="AD89" s="139" t="s">
        <v>482</v>
      </c>
      <c r="AG89" s="351"/>
      <c r="AH89" s="1285" t="s">
        <v>198</v>
      </c>
      <c r="AI89" s="1289"/>
      <c r="AJ89" s="1289"/>
      <c r="AK89" s="1286"/>
      <c r="AL89" s="350"/>
    </row>
    <row r="90" spans="1:70">
      <c r="F90" s="41" t="s">
        <v>26</v>
      </c>
      <c r="S90" s="1273" t="s">
        <v>693</v>
      </c>
      <c r="T90" s="1274"/>
      <c r="U90" s="1274"/>
      <c r="V90" s="37"/>
      <c r="X90" s="172"/>
      <c r="AD90" s="139" t="s">
        <v>483</v>
      </c>
      <c r="AG90" s="351"/>
      <c r="AH90" s="1285" t="s">
        <v>196</v>
      </c>
      <c r="AI90" s="1286"/>
      <c r="AJ90" s="1285" t="s">
        <v>197</v>
      </c>
      <c r="AK90" s="1286"/>
      <c r="AL90" s="350"/>
    </row>
    <row r="91" spans="1:70" ht="15">
      <c r="A91" s="637" t="s">
        <v>840</v>
      </c>
      <c r="L91" s="43" t="s">
        <v>446</v>
      </c>
      <c r="M91" s="37"/>
      <c r="N91" s="37"/>
      <c r="O91" s="354"/>
      <c r="P91" s="37"/>
      <c r="S91" s="264" t="str">
        <f>Q146</f>
        <v>Capital Repayment</v>
      </c>
      <c r="T91" s="264" t="e">
        <f>R146</f>
        <v>#DIV/0!</v>
      </c>
      <c r="U91" s="264" t="e">
        <f>S146</f>
        <v>#DIV/0!</v>
      </c>
      <c r="V91" s="709"/>
      <c r="AD91" s="139" t="s">
        <v>780</v>
      </c>
      <c r="AG91" s="351"/>
      <c r="AH91" s="355" t="s">
        <v>194</v>
      </c>
      <c r="AI91" s="356" t="e">
        <f>IF(U253="Cap. r/p",0,U257/U259)</f>
        <v>#DIV/0!</v>
      </c>
      <c r="AJ91" s="355" t="s">
        <v>194</v>
      </c>
      <c r="AK91" s="356">
        <f>IF(U253="int. only",0,S257/S259)</f>
        <v>0</v>
      </c>
      <c r="AL91" s="350"/>
    </row>
    <row r="92" spans="1:70">
      <c r="D92" s="37"/>
      <c r="G92" s="37"/>
      <c r="L92" s="43"/>
      <c r="M92" s="37"/>
      <c r="N92" s="37"/>
      <c r="O92" s="142"/>
      <c r="P92" s="37"/>
      <c r="Z92" s="357"/>
      <c r="AG92" s="351"/>
      <c r="AH92" s="355" t="s">
        <v>195</v>
      </c>
      <c r="AI92" s="356" t="e">
        <f>IF(U253="Cap. r/p",0,U258/U259)</f>
        <v>#DIV/0!</v>
      </c>
      <c r="AJ92" s="355" t="s">
        <v>195</v>
      </c>
      <c r="AK92" s="356">
        <f>IF(U253="Int. only",0,S258/S259)</f>
        <v>0</v>
      </c>
      <c r="AL92" s="350"/>
      <c r="AO92" s="240" t="str">
        <f>AE210</f>
        <v/>
      </c>
    </row>
    <row r="93" spans="1:70" ht="15">
      <c r="A93" s="636" t="str">
        <f>IF('Support borrower Affordability'!Y13+'Support borrower Affordability'!Y22+'Occupy borrower Affordability'!AA10+'Occupy borrower Affordability'!AA19=0,"IMPORTANT - COMPLETE CURRENT AGE OF ALL BORROWERS","IMPORTANT - if any of the below FAIL the Maximum LTV permitted is 80%")</f>
        <v>IMPORTANT - COMPLETE CURRENT AGE OF ALL BORROWERS</v>
      </c>
      <c r="F93" s="233"/>
      <c r="G93" s="340" t="str">
        <f>IF(G68=0,"",B80/G68)</f>
        <v/>
      </c>
      <c r="H93" s="143" t="s">
        <v>843</v>
      </c>
      <c r="I93" s="143" t="s">
        <v>842</v>
      </c>
      <c r="L93" s="43"/>
      <c r="M93" s="37"/>
      <c r="N93" s="37"/>
      <c r="O93" s="242" t="s">
        <v>485</v>
      </c>
      <c r="P93" s="37"/>
      <c r="R93" s="141" t="s">
        <v>484</v>
      </c>
      <c r="S93" s="41"/>
      <c r="U93" s="141" t="s">
        <v>206</v>
      </c>
      <c r="X93" s="252">
        <f>SUM(G68*80%)</f>
        <v>0</v>
      </c>
      <c r="AG93" s="351"/>
      <c r="AH93" s="355" t="s">
        <v>2</v>
      </c>
      <c r="AI93" s="358" t="e">
        <f>SUM(AI91:AI92)</f>
        <v>#DIV/0!</v>
      </c>
      <c r="AJ93" s="359" t="s">
        <v>2</v>
      </c>
      <c r="AK93" s="358">
        <f>SUM(AK91:AK92)</f>
        <v>0</v>
      </c>
      <c r="AL93" s="350"/>
      <c r="AO93" s="37"/>
    </row>
    <row r="94" spans="1:70">
      <c r="F94" s="37"/>
      <c r="G94" s="37"/>
      <c r="L94" s="43" t="str">
        <f>IF(O94&lt;=0,"Occupier has no disposable income","Occupier - 90% of Disposable Monthly Income")</f>
        <v>Occupier has no disposable income</v>
      </c>
      <c r="M94" s="37"/>
      <c r="N94" s="37"/>
      <c r="O94" s="360">
        <f>O89</f>
        <v>-1393.8700966666663</v>
      </c>
      <c r="P94" s="237"/>
      <c r="Q94" s="37"/>
      <c r="R94" s="255">
        <f>O89</f>
        <v>-1393.8700966666663</v>
      </c>
      <c r="S94" s="41"/>
      <c r="U94" s="335">
        <f>O89</f>
        <v>-1393.8700966666663</v>
      </c>
      <c r="W94" s="37"/>
      <c r="AD94" s="37"/>
      <c r="AE94" s="37"/>
      <c r="AF94" s="37"/>
      <c r="AG94" s="525"/>
      <c r="AH94" s="37"/>
      <c r="AI94" s="37"/>
      <c r="AJ94" s="526"/>
      <c r="AK94" s="37"/>
      <c r="AL94" s="527"/>
      <c r="AM94" s="37"/>
      <c r="AN94" s="37"/>
      <c r="AO94" s="240" t="str">
        <f>AE211</f>
        <v/>
      </c>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row>
    <row r="95" spans="1:70">
      <c r="A95" s="559" t="s">
        <v>1449</v>
      </c>
      <c r="G95" s="529" t="str">
        <f>IF('Support borrower Affordability'!Y13+'Support borrower Affordability'!Y22=0,"",IF('Support borrower Affordability'!Y15+'Support borrower Affordability'!Y24=0,"",IF(Q67&lt;=80%,AD91,IF(Q67&gt;80%,IF(BK172&gt;=110%,AD89,IF(BK172&lt;110%,AD90))))))</f>
        <v/>
      </c>
      <c r="H95" s="143" t="str">
        <f>IF(G95=""," Complete the current age of the supporting borrower(s) on the Support Borrower Affordability tab",IF(B80=0,"",IF(G68=0,"Complete purchase price / estimated value &amp; deposit details",IF(G95="Not applicable","",IF(G95="PASS","The loan is estimated to be affordable on just the occupier(s) income when the supporting borrower(s) retire in "&amp;(BK173)&amp;" years",IF(G95="FAIL","The occupying borrower(s) will be reliant on supporting borrower income after the supporting borrower(s) retire in "&amp;(BK173)&amp;" years"))))))</f>
        <v xml:space="preserve"> Complete the current age of the supporting borrower(s) on the Support Borrower Affordability tab</v>
      </c>
      <c r="L95" s="40" t="s">
        <v>753</v>
      </c>
      <c r="M95" s="37"/>
      <c r="N95" s="37"/>
      <c r="O95" s="360">
        <f>'Support borrower Affordability'!O83</f>
        <v>0</v>
      </c>
      <c r="P95" s="37"/>
      <c r="Q95" s="37"/>
      <c r="R95" s="360">
        <f>'Support borrower Affordability'!O83</f>
        <v>0</v>
      </c>
      <c r="S95" s="66"/>
      <c r="U95" s="335">
        <f>'Support borrower Affordability'!O83</f>
        <v>0</v>
      </c>
      <c r="W95" s="37"/>
      <c r="AD95" s="37"/>
      <c r="AE95" s="37"/>
      <c r="AF95" s="37"/>
      <c r="AG95" s="525"/>
      <c r="AH95" s="37"/>
      <c r="AI95" s="37"/>
      <c r="AJ95" s="259" t="s">
        <v>202</v>
      </c>
      <c r="AK95" s="528"/>
      <c r="AL95" s="52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row>
    <row r="96" spans="1:70">
      <c r="A96" s="559"/>
      <c r="D96" s="37"/>
      <c r="G96" s="37"/>
      <c r="H96" s="172"/>
      <c r="L96" s="43" t="s">
        <v>445</v>
      </c>
      <c r="M96" s="43"/>
      <c r="N96" s="43"/>
      <c r="O96" s="353">
        <f>SUM(O94+O95)</f>
        <v>-1393.8700966666663</v>
      </c>
      <c r="P96" s="37"/>
      <c r="R96" s="256">
        <f>SUM(R94+R95)</f>
        <v>-1393.8700966666663</v>
      </c>
      <c r="S96" s="41"/>
      <c r="U96" s="335">
        <f>SUM(U94+U95)</f>
        <v>-1393.8700966666663</v>
      </c>
      <c r="AG96" s="361" t="s">
        <v>453</v>
      </c>
      <c r="AH96" s="347"/>
      <c r="AI96" s="347"/>
      <c r="AJ96" s="352">
        <f>AK80</f>
        <v>0</v>
      </c>
      <c r="AK96" s="352"/>
      <c r="AL96" s="350"/>
    </row>
    <row r="97" spans="1:72">
      <c r="A97" s="559" t="s">
        <v>1453</v>
      </c>
      <c r="G97" s="242" t="str">
        <f>IF(AF3+AF4=0,"Not applicable",AG5)</f>
        <v>Not applicable</v>
      </c>
      <c r="H97" s="635" t="str">
        <f>IF('Support borrower Affordability'!Y13+'Support borrower Affordability'!Y22=0,"Complete the current age of the supporting borrower(s) on the Support Borrower Affordability tab",AH5)</f>
        <v>Complete the current age of the supporting borrower(s) on the Support Borrower Affordability tab</v>
      </c>
      <c r="L97" s="37"/>
      <c r="M97" s="37"/>
      <c r="N97" s="37"/>
      <c r="O97" s="530"/>
      <c r="P97" s="37"/>
      <c r="Q97" s="37"/>
      <c r="R97" s="41"/>
      <c r="S97" s="41"/>
      <c r="U97" s="37"/>
      <c r="W97" s="37"/>
      <c r="AD97" s="37"/>
      <c r="AE97" s="37"/>
      <c r="AF97" s="37"/>
      <c r="AG97" s="531" t="s">
        <v>454</v>
      </c>
      <c r="AH97" s="37"/>
      <c r="AI97" s="37"/>
      <c r="AJ97" s="526">
        <f>AJ80</f>
        <v>0</v>
      </c>
      <c r="AK97" s="526"/>
      <c r="AL97" s="527"/>
      <c r="AM97" s="37"/>
      <c r="AN97" s="124" t="s">
        <v>821</v>
      </c>
      <c r="AO97" s="104"/>
      <c r="AP97" s="104"/>
      <c r="AQ97" s="104"/>
      <c r="AR97" s="104"/>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row>
    <row r="98" spans="1:72">
      <c r="F98" s="37"/>
      <c r="H98" s="172"/>
      <c r="L98" s="40" t="s">
        <v>487</v>
      </c>
      <c r="M98" s="37"/>
      <c r="N98" s="37"/>
      <c r="O98" s="360">
        <f>AK80</f>
        <v>0</v>
      </c>
      <c r="P98" s="66" t="s">
        <v>172</v>
      </c>
      <c r="Q98" s="37"/>
      <c r="R98" s="255">
        <f>AJ80</f>
        <v>0</v>
      </c>
      <c r="S98" s="66" t="s">
        <v>173</v>
      </c>
      <c r="U98" s="335">
        <f>Z80</f>
        <v>0</v>
      </c>
      <c r="W98" s="37"/>
      <c r="AD98" s="37"/>
      <c r="AE98" s="37"/>
      <c r="AF98" s="37"/>
      <c r="AG98" s="525"/>
      <c r="AH98" s="37"/>
      <c r="AI98" s="37"/>
      <c r="AJ98" s="526"/>
      <c r="AK98" s="37"/>
      <c r="AL98" s="527"/>
      <c r="AM98" s="37"/>
      <c r="AN98" s="93" t="s">
        <v>581</v>
      </c>
      <c r="AO98" s="551">
        <f>C72</f>
        <v>0</v>
      </c>
      <c r="AP98" s="104" t="s">
        <v>815</v>
      </c>
      <c r="AQ98" s="105">
        <f>B73</f>
        <v>0</v>
      </c>
      <c r="AR98" s="104"/>
      <c r="AS98" s="104"/>
      <c r="AT98" s="104"/>
      <c r="AU98" s="104"/>
      <c r="AV98" s="104"/>
      <c r="AW98" s="104"/>
      <c r="AX98" s="104"/>
      <c r="AY98" s="104"/>
      <c r="AZ98" s="104"/>
      <c r="BA98" s="104"/>
      <c r="BB98" s="104"/>
      <c r="BC98" s="104"/>
      <c r="BD98" s="104"/>
      <c r="BE98" s="104"/>
      <c r="BF98" s="104"/>
      <c r="BG98" s="104"/>
      <c r="BH98" s="104"/>
      <c r="BI98" s="104"/>
      <c r="BJ98" s="37"/>
      <c r="BK98" s="37"/>
      <c r="BL98" s="37"/>
      <c r="BM98" s="37"/>
      <c r="BN98" s="37"/>
      <c r="BO98" s="37"/>
      <c r="BP98" s="37"/>
      <c r="BQ98" s="37"/>
      <c r="BR98" s="37"/>
    </row>
    <row r="99" spans="1:72">
      <c r="A99" s="559" t="s">
        <v>1454</v>
      </c>
      <c r="G99" s="242" t="str">
        <f>IF(AF7+AF8=0,"Not applicable",AG9)</f>
        <v>Not applicable</v>
      </c>
      <c r="H99" s="632" t="str">
        <f>IF(AA10+AA19=0,"Complete the current age of the occupying borrower(s)",AH9)</f>
        <v>Complete the current age of the occupying borrower(s)</v>
      </c>
      <c r="L99" s="40" t="s">
        <v>488</v>
      </c>
      <c r="M99" s="37"/>
      <c r="N99" s="37"/>
      <c r="O99" s="362" t="e">
        <f>O96/O98</f>
        <v>#DIV/0!</v>
      </c>
      <c r="P99" s="141" t="e">
        <f>IF(O99&gt;110%,T84,IF(O99&lt;100%,T85,IF(O99&gt;=100%,T86,IF(O99&lt;=110%,T86))))</f>
        <v>#DIV/0!</v>
      </c>
      <c r="R99" s="362" t="e">
        <f>R96/R98</f>
        <v>#DIV/0!</v>
      </c>
      <c r="S99" s="141" t="e">
        <f>IF(R99&gt;110%,T84,IF(R99&lt;100%,T85,IF(R99&gt;100%,T86,IF(R99&lt;110%,T86))))</f>
        <v>#DIV/0!</v>
      </c>
      <c r="U99" s="362" t="e">
        <f>U96/U98</f>
        <v>#DIV/0!</v>
      </c>
      <c r="V99" s="141" t="e">
        <f>IF(U99&gt;110%,T84,IF(U99&lt;100%,T85,IF(U99&gt;100%,T86,IF(U99&lt;110%,T86))))</f>
        <v>#DIV/0!</v>
      </c>
      <c r="AG99" s="363"/>
      <c r="AH99" s="364"/>
      <c r="AI99" s="364"/>
      <c r="AJ99" s="364"/>
      <c r="AK99" s="364"/>
      <c r="AL99" s="365"/>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row>
    <row r="100" spans="1:72">
      <c r="A100" s="559"/>
      <c r="J100" s="37" t="s">
        <v>26</v>
      </c>
      <c r="AN100" s="124" t="s">
        <v>798</v>
      </c>
      <c r="AO100" s="104"/>
      <c r="AP100" s="104"/>
      <c r="AQ100" s="104"/>
      <c r="AR100" s="104" t="s">
        <v>802</v>
      </c>
      <c r="AS100" s="552" t="s">
        <v>802</v>
      </c>
      <c r="AT100" s="104"/>
      <c r="AU100" s="104"/>
      <c r="AV100" s="104"/>
      <c r="AW100" s="104"/>
      <c r="AX100" s="104"/>
      <c r="AY100" s="104"/>
      <c r="AZ100" s="104" t="s">
        <v>816</v>
      </c>
      <c r="BA100" s="104" t="s">
        <v>491</v>
      </c>
      <c r="BB100" s="104" t="s">
        <v>813</v>
      </c>
      <c r="BC100" s="104" t="s">
        <v>809</v>
      </c>
      <c r="BD100" s="104"/>
      <c r="BE100" s="104"/>
      <c r="BF100" s="104" t="s">
        <v>808</v>
      </c>
      <c r="BG100" s="104"/>
      <c r="BH100" s="104" t="s">
        <v>805</v>
      </c>
      <c r="BI100" s="104"/>
    </row>
    <row r="101" spans="1:72">
      <c r="A101" s="47"/>
      <c r="J101" s="366"/>
      <c r="K101" s="366"/>
      <c r="AE101" s="162" t="s">
        <v>653</v>
      </c>
      <c r="AN101" s="104"/>
      <c r="AO101" s="93" t="s">
        <v>619</v>
      </c>
      <c r="AP101" s="93" t="s">
        <v>799</v>
      </c>
      <c r="AQ101" s="553" t="s">
        <v>623</v>
      </c>
      <c r="AR101" s="104" t="s">
        <v>817</v>
      </c>
      <c r="AS101" s="104" t="s">
        <v>818</v>
      </c>
      <c r="AT101" s="104"/>
      <c r="AU101" s="104" t="s">
        <v>803</v>
      </c>
      <c r="AV101" s="104"/>
      <c r="AW101" s="104" t="s">
        <v>811</v>
      </c>
      <c r="AX101" s="104" t="s">
        <v>810</v>
      </c>
      <c r="AY101" s="284" t="s">
        <v>629</v>
      </c>
      <c r="AZ101" s="104" t="s">
        <v>812</v>
      </c>
      <c r="BA101" s="104" t="s">
        <v>812</v>
      </c>
      <c r="BB101" s="104" t="s">
        <v>814</v>
      </c>
      <c r="BC101" s="104" t="s">
        <v>806</v>
      </c>
      <c r="BD101" s="104" t="s">
        <v>807</v>
      </c>
      <c r="BE101" s="93" t="s">
        <v>804</v>
      </c>
      <c r="BF101" s="104" t="s">
        <v>806</v>
      </c>
      <c r="BG101" s="104" t="s">
        <v>807</v>
      </c>
      <c r="BH101" s="104"/>
      <c r="BI101" s="104"/>
    </row>
    <row r="102" spans="1:72">
      <c r="L102" s="718"/>
      <c r="N102" s="297"/>
      <c r="AE102" s="157" t="s">
        <v>486</v>
      </c>
      <c r="AK102" s="367" t="e">
        <f>AF157</f>
        <v>#N/A</v>
      </c>
      <c r="AL102" s="81" t="s">
        <v>463</v>
      </c>
      <c r="AN102" s="93" t="s">
        <v>800</v>
      </c>
      <c r="AO102" s="284">
        <f>'Support borrower Affordability'!Y13</f>
        <v>0</v>
      </c>
      <c r="AP102" s="284">
        <f>'Support borrower Affordability'!Y15</f>
        <v>0</v>
      </c>
      <c r="AQ102" s="284">
        <f>IF(AP102=0,$AO$98,IF(AP102-AO102&gt;=$AO$98,$AO$98,AP102-AO102))</f>
        <v>0</v>
      </c>
      <c r="AR102" s="104"/>
      <c r="AS102" s="104"/>
      <c r="AT102" s="104"/>
      <c r="AU102" s="104"/>
      <c r="AV102" s="104"/>
      <c r="AW102" s="105">
        <f>AK192</f>
        <v>0</v>
      </c>
      <c r="AX102" s="105">
        <f>'Support borrower Affordability'!Y17</f>
        <v>0</v>
      </c>
      <c r="AY102" s="104"/>
      <c r="AZ102" s="105" t="e">
        <f>LOOKUP(AQ102,AI114:AI153,AJ114:AJ153)+AQ98</f>
        <v>#N/A</v>
      </c>
      <c r="BA102" s="104"/>
      <c r="BB102" s="104"/>
      <c r="BC102" s="104"/>
      <c r="BD102" s="104"/>
      <c r="BE102" s="284">
        <f>IF(AP102=0,$AO$98,IF(85-AO102&gt;=$AO$98,$AO$98,85-AO102))</f>
        <v>0</v>
      </c>
      <c r="BF102" s="104"/>
      <c r="BG102" s="104"/>
      <c r="BH102" s="104"/>
      <c r="BI102" s="104"/>
    </row>
    <row r="103" spans="1:72">
      <c r="W103" s="159"/>
      <c r="AN103" s="93" t="s">
        <v>801</v>
      </c>
      <c r="AO103" s="284">
        <f>'Support borrower Affordability'!Y22</f>
        <v>0</v>
      </c>
      <c r="AP103" s="284">
        <f>'Support borrower Affordability'!Y24</f>
        <v>0</v>
      </c>
      <c r="AQ103" s="284">
        <f>IF(AP103=0,$AO$98,IF(AP103-AO103&gt;=$AO$98,$AO$98,AP103-AO103))</f>
        <v>0</v>
      </c>
      <c r="AR103" s="104"/>
      <c r="AS103" s="104"/>
      <c r="AT103" s="104"/>
      <c r="AU103" s="104"/>
      <c r="AV103" s="104"/>
      <c r="AW103" s="105">
        <f>AK193</f>
        <v>0</v>
      </c>
      <c r="AX103" s="105">
        <f>'Support borrower Affordability'!Y26</f>
        <v>0</v>
      </c>
      <c r="AY103" s="104"/>
      <c r="AZ103" s="105" t="e">
        <f>LOOKUP(AQ103,AI114:AI153,AJ114:AJ153)+AQ98</f>
        <v>#N/A</v>
      </c>
      <c r="BA103" s="104"/>
      <c r="BB103" s="104"/>
      <c r="BC103" s="104"/>
      <c r="BD103" s="104"/>
      <c r="BE103" s="284">
        <f>IF(AP103=0,$AO$98,IF(85-AO103&gt;=$AO$98,$AO$98,85-AO103))</f>
        <v>0</v>
      </c>
      <c r="BF103" s="104"/>
      <c r="BG103" s="104"/>
      <c r="BH103" s="104"/>
      <c r="BI103" s="104"/>
      <c r="BS103" s="40" t="s">
        <v>26</v>
      </c>
    </row>
    <row r="104" spans="1:72">
      <c r="L104" s="162" t="s">
        <v>586</v>
      </c>
      <c r="Q104" s="368" t="s">
        <v>667</v>
      </c>
      <c r="R104" s="369"/>
      <c r="S104" s="369"/>
      <c r="T104" s="369"/>
      <c r="AD104" s="124" t="s">
        <v>844</v>
      </c>
      <c r="AE104" s="104"/>
      <c r="AF104" s="104"/>
      <c r="AG104" s="104"/>
      <c r="AH104" s="104"/>
      <c r="AN104" s="104"/>
      <c r="AO104" s="284"/>
      <c r="AP104" s="284"/>
      <c r="AQ104" s="284"/>
      <c r="AR104" s="104"/>
      <c r="AS104" s="104"/>
      <c r="AT104" s="104"/>
      <c r="AU104" s="104"/>
      <c r="AV104" s="104"/>
      <c r="AW104" s="104"/>
      <c r="AX104" s="104"/>
      <c r="AY104" s="104"/>
      <c r="AZ104" s="105"/>
      <c r="BA104" s="104"/>
      <c r="BB104" s="104"/>
      <c r="BC104" s="104"/>
      <c r="BD104" s="104"/>
      <c r="BE104" s="284"/>
      <c r="BF104" s="104"/>
      <c r="BG104" s="104"/>
      <c r="BH104" s="104"/>
      <c r="BI104" s="104"/>
    </row>
    <row r="105" spans="1:72">
      <c r="L105" s="159" t="s">
        <v>502</v>
      </c>
      <c r="O105" s="148">
        <f>R96</f>
        <v>-1393.8700966666663</v>
      </c>
      <c r="Q105" s="369"/>
      <c r="R105" s="370"/>
      <c r="S105" s="370"/>
      <c r="T105" s="370"/>
      <c r="W105" s="157"/>
      <c r="AD105" s="139" t="s">
        <v>456</v>
      </c>
      <c r="AF105" s="371">
        <f>L72</f>
        <v>0</v>
      </c>
      <c r="AN105" s="93" t="s">
        <v>802</v>
      </c>
      <c r="AO105" s="284">
        <f>AA10</f>
        <v>0</v>
      </c>
      <c r="AP105" s="284">
        <f>AA12</f>
        <v>0</v>
      </c>
      <c r="AQ105" s="284">
        <f>IF(AP105=0,$AO$98,IF(AP105-AO105&gt;=$AO$98,$AO$98,AP105-AO105))</f>
        <v>0</v>
      </c>
      <c r="AR105" s="105" t="e">
        <f>LOOKUP(AQ105,AD114:AD153,AE114:AE153)</f>
        <v>#N/A</v>
      </c>
      <c r="AS105" s="105">
        <f>AA14</f>
        <v>0</v>
      </c>
      <c r="AT105" s="104"/>
      <c r="AU105" s="104"/>
      <c r="AV105" s="104"/>
      <c r="AW105" s="105">
        <f>IF(AQ105&lt;=AQ102,AS105,AR105)</f>
        <v>0</v>
      </c>
      <c r="AX105" s="104"/>
      <c r="AY105" s="104"/>
      <c r="AZ105" s="105" t="e">
        <f>LOOKUP(AQ105,AI114:AI153,AJ114:AJ153)+AQ98</f>
        <v>#N/A</v>
      </c>
      <c r="BA105" s="554" t="e">
        <f>SUM(AZ105/AW105)</f>
        <v>#N/A</v>
      </c>
      <c r="BB105" s="104"/>
      <c r="BC105" s="104"/>
      <c r="BD105" s="104"/>
      <c r="BE105" s="284">
        <f>IF(AP105=0,$AO$98,IF(85-AO105&gt;=$AO$98,$AO$98,85-AO105))</f>
        <v>0</v>
      </c>
      <c r="BF105" s="104"/>
      <c r="BG105" s="104"/>
      <c r="BH105" s="104"/>
      <c r="BI105" s="104"/>
      <c r="BT105" s="40" t="s">
        <v>26</v>
      </c>
    </row>
    <row r="106" spans="1:72">
      <c r="L106" s="159" t="s">
        <v>588</v>
      </c>
      <c r="O106" s="105">
        <f>FLOOR(O105,10)</f>
        <v>-1400</v>
      </c>
      <c r="P106" s="104" t="s">
        <v>565</v>
      </c>
      <c r="Q106" s="159" t="s">
        <v>665</v>
      </c>
      <c r="S106" s="372">
        <f>'Income &amp; Committed Expenditure'!X88</f>
        <v>0</v>
      </c>
      <c r="T106" s="52" t="s">
        <v>666</v>
      </c>
      <c r="W106" s="157"/>
      <c r="AD106" s="139" t="s">
        <v>455</v>
      </c>
      <c r="AF106" s="371">
        <f>AI72</f>
        <v>0</v>
      </c>
      <c r="AN106" s="93" t="s">
        <v>803</v>
      </c>
      <c r="AO106" s="284">
        <f>AA19</f>
        <v>0</v>
      </c>
      <c r="AP106" s="284">
        <f>AA23</f>
        <v>0</v>
      </c>
      <c r="AQ106" s="284">
        <f>IF(AP106=0,$AO$98,IF(AP106-AO106&gt;=$AO$98,$AO$98,AP106-AO106))</f>
        <v>0</v>
      </c>
      <c r="AR106" s="105" t="e">
        <f>LOOKUP(AQ106,AD114:AD153,AG114:AG153)</f>
        <v>#N/A</v>
      </c>
      <c r="AS106" s="105">
        <f>AA23</f>
        <v>0</v>
      </c>
      <c r="AT106" s="104"/>
      <c r="AU106" s="104"/>
      <c r="AV106" s="104"/>
      <c r="AW106" s="105" t="e">
        <f>IF(AQ106&lt;=AQ103,AR106,AS106)</f>
        <v>#N/A</v>
      </c>
      <c r="AX106" s="104"/>
      <c r="AY106" s="104"/>
      <c r="AZ106" s="105" t="e">
        <f>LOOKUP(AQ106,AI114:AI153,AJ114:AJ153)+AQ98</f>
        <v>#N/A</v>
      </c>
      <c r="BA106" s="554" t="e">
        <f>SUM(AZ106/AW106)</f>
        <v>#N/A</v>
      </c>
      <c r="BB106" s="104"/>
      <c r="BC106" s="104"/>
      <c r="BD106" s="104"/>
      <c r="BE106" s="284">
        <f>IF(AP106=0,$AO$98,IF(85-AO106&gt;=$AO$98,$AO$98,85-AO106))</f>
        <v>0</v>
      </c>
      <c r="BF106" s="104"/>
      <c r="BG106" s="104"/>
      <c r="BH106" s="104"/>
      <c r="BI106" s="104"/>
    </row>
    <row r="107" spans="1:72" ht="17.399999999999999">
      <c r="E107" s="373"/>
      <c r="F107" s="373"/>
      <c r="G107" s="373"/>
      <c r="H107" s="373"/>
      <c r="I107" s="373"/>
      <c r="J107" s="374"/>
      <c r="K107" s="374"/>
      <c r="L107" s="159" t="s">
        <v>503</v>
      </c>
      <c r="O107" s="375">
        <f>C72</f>
        <v>0</v>
      </c>
      <c r="W107" s="157"/>
      <c r="AD107" s="139" t="s">
        <v>457</v>
      </c>
      <c r="AF107" s="358">
        <f>E72</f>
        <v>0</v>
      </c>
    </row>
    <row r="108" spans="1:72">
      <c r="H108" s="66"/>
      <c r="L108" s="159" t="s">
        <v>504</v>
      </c>
      <c r="O108" s="376" t="str">
        <f>X72</f>
        <v/>
      </c>
    </row>
    <row r="109" spans="1:72" ht="12.75" customHeight="1">
      <c r="G109" s="66"/>
      <c r="H109" s="66"/>
      <c r="J109" s="374"/>
      <c r="K109" s="374"/>
      <c r="L109" s="139"/>
      <c r="Q109" s="377"/>
      <c r="R109" s="377"/>
      <c r="S109" s="370"/>
      <c r="T109" s="370"/>
      <c r="W109" s="157"/>
      <c r="AD109" s="378" t="s">
        <v>846</v>
      </c>
      <c r="AG109" s="159" t="s">
        <v>452</v>
      </c>
      <c r="AH109" s="379">
        <v>0.02</v>
      </c>
    </row>
    <row r="110" spans="1:72" ht="38.25" customHeight="1" thickBot="1">
      <c r="L110" s="159" t="s">
        <v>505</v>
      </c>
      <c r="O110" s="380" t="e">
        <f>PV(O108/12,(O107)*12,-O105)</f>
        <v>#VALUE!</v>
      </c>
      <c r="Q110" s="159" t="s">
        <v>665</v>
      </c>
      <c r="R110" s="377"/>
      <c r="S110" s="381">
        <f>'Income &amp; Committed Expenditure'!N152</f>
        <v>0</v>
      </c>
      <c r="T110" s="382" t="s">
        <v>666</v>
      </c>
      <c r="U110" s="383"/>
      <c r="V110" s="383"/>
      <c r="W110" s="384"/>
      <c r="AE110" s="638" t="s">
        <v>845</v>
      </c>
      <c r="AG110" s="638" t="s">
        <v>845</v>
      </c>
      <c r="AI110" s="385" t="s">
        <v>471</v>
      </c>
      <c r="AJ110" s="386"/>
      <c r="AK110" s="386"/>
      <c r="AL110" s="387"/>
      <c r="AM110" s="386"/>
      <c r="AN110" s="388"/>
      <c r="AO110" s="389" t="s">
        <v>603</v>
      </c>
      <c r="AP110" s="390"/>
      <c r="AQ110" s="390"/>
      <c r="AR110" s="390"/>
      <c r="AS110" s="532" t="s">
        <v>655</v>
      </c>
      <c r="AT110" s="409"/>
      <c r="AU110" s="409"/>
    </row>
    <row r="111" spans="1:72" ht="13.8" thickTop="1">
      <c r="A111" s="82"/>
      <c r="L111" s="254"/>
      <c r="M111" s="254"/>
      <c r="N111" s="254"/>
      <c r="S111" s="369"/>
      <c r="W111" s="157"/>
      <c r="AE111" s="147" t="s">
        <v>434</v>
      </c>
      <c r="AG111" s="147" t="s">
        <v>1</v>
      </c>
      <c r="AH111" s="213" t="s">
        <v>672</v>
      </c>
      <c r="AI111" s="386"/>
      <c r="AJ111" s="386"/>
      <c r="AK111" s="386"/>
      <c r="AL111" s="386"/>
      <c r="AM111" s="386"/>
      <c r="AN111" s="386"/>
      <c r="AO111" s="390"/>
      <c r="AP111" s="390"/>
      <c r="AQ111" s="390"/>
      <c r="AR111" s="390"/>
      <c r="AS111" s="409"/>
      <c r="AT111" s="409"/>
      <c r="AU111" s="409"/>
    </row>
    <row r="112" spans="1:72">
      <c r="A112" s="40"/>
      <c r="J112" s="374"/>
      <c r="K112" s="374"/>
      <c r="L112" s="254"/>
      <c r="M112" s="254"/>
      <c r="N112" s="254"/>
      <c r="P112" s="391" t="s">
        <v>538</v>
      </c>
      <c r="S112" s="392" t="e">
        <f>MIN(S110,O110)</f>
        <v>#VALUE!</v>
      </c>
      <c r="W112" s="157"/>
      <c r="AD112" s="393" t="s">
        <v>458</v>
      </c>
      <c r="AE112" s="394">
        <f>'Occupy borrower(s) Income'!D54</f>
        <v>0</v>
      </c>
      <c r="AF112" s="210" t="s">
        <v>458</v>
      </c>
      <c r="AG112" s="394">
        <f>'Occupy borrower(s) Income'!G54</f>
        <v>0</v>
      </c>
      <c r="AH112" s="213" t="s">
        <v>426</v>
      </c>
      <c r="AI112" s="386"/>
      <c r="AJ112" s="386"/>
      <c r="AK112" s="386"/>
      <c r="AL112" s="386"/>
      <c r="AM112" s="386"/>
      <c r="AN112" s="386"/>
      <c r="AO112" s="390"/>
      <c r="AP112" s="390"/>
      <c r="AQ112" s="390"/>
      <c r="AR112" s="390"/>
      <c r="AS112" s="409"/>
      <c r="AT112" s="409"/>
      <c r="AU112" s="409"/>
    </row>
    <row r="113" spans="1:47">
      <c r="A113" s="40"/>
      <c r="J113" s="374"/>
      <c r="K113" s="374"/>
      <c r="P113" s="159" t="s">
        <v>523</v>
      </c>
      <c r="S113" s="148" t="e">
        <f>FLOOR(S112,1000)</f>
        <v>#VALUE!</v>
      </c>
      <c r="W113" s="157"/>
      <c r="AD113" s="311" t="s">
        <v>561</v>
      </c>
      <c r="AE113" s="311" t="s">
        <v>673</v>
      </c>
      <c r="AG113" s="311" t="s">
        <v>673</v>
      </c>
      <c r="AH113" s="213" t="s">
        <v>673</v>
      </c>
      <c r="AI113" s="395"/>
      <c r="AJ113" s="396" t="s">
        <v>459</v>
      </c>
      <c r="AK113" s="386"/>
      <c r="AL113" s="396" t="s">
        <v>460</v>
      </c>
      <c r="AM113" s="386"/>
      <c r="AN113" s="397"/>
      <c r="AO113" s="398" t="s">
        <v>577</v>
      </c>
      <c r="AP113" s="399" t="s">
        <v>460</v>
      </c>
      <c r="AQ113" s="390"/>
      <c r="AR113" s="390"/>
      <c r="AS113" s="400" t="s">
        <v>206</v>
      </c>
      <c r="AT113" s="401" t="s">
        <v>605</v>
      </c>
      <c r="AU113" s="401"/>
    </row>
    <row r="114" spans="1:47">
      <c r="A114" s="40"/>
      <c r="J114" s="374"/>
      <c r="K114" s="374"/>
      <c r="L114" s="639" t="s">
        <v>876</v>
      </c>
      <c r="M114" s="104"/>
      <c r="W114" s="159"/>
      <c r="AD114" s="153">
        <v>1</v>
      </c>
      <c r="AE114" s="286">
        <f>FV($AH$109,1,0,(-AE112),0)</f>
        <v>0</v>
      </c>
      <c r="AG114" s="402">
        <f>FV($AH$109,1,0,(-AG112),0)</f>
        <v>0</v>
      </c>
      <c r="AH114" s="286">
        <f>SUM(AE114+AG114)</f>
        <v>0</v>
      </c>
      <c r="AI114" s="386">
        <v>1</v>
      </c>
      <c r="AJ114" s="403" t="e">
        <f t="shared" ref="AJ114:AJ153" si="25">IF(($AF$105*(1+($AF$107/12))^(AI114*12)-($AF$106*((((1+($AF$107/12))^(AI114*12))-1)/($AF$107/12))))&lt;0,0,($AF$105*(1+($AF$107/12))^(AI114*12)-($AF$106*((((1+($AF$107/12))^(AI114*12))-1)/($AF$107/12)))))</f>
        <v>#DIV/0!</v>
      </c>
      <c r="AK114" s="386"/>
      <c r="AL114" s="404" t="e">
        <f>SUM(AJ114/AH114)</f>
        <v>#DIV/0!</v>
      </c>
      <c r="AM114" s="386" t="e">
        <f>IF(AL114&lt;4.5,AN113+1,0)</f>
        <v>#DIV/0!</v>
      </c>
      <c r="AN114" s="386"/>
      <c r="AO114" s="405">
        <f>$B$73</f>
        <v>0</v>
      </c>
      <c r="AP114" s="406" t="e">
        <f>SUM(AO114/AH114)</f>
        <v>#DIV/0!</v>
      </c>
      <c r="AQ114" s="390" t="e">
        <f>IF(AP114&lt;4.5,AR113+1,0)</f>
        <v>#DIV/0!</v>
      </c>
      <c r="AR114" s="390"/>
      <c r="AS114" s="407" t="e">
        <f>SUM(AJ114+AO114)</f>
        <v>#DIV/0!</v>
      </c>
      <c r="AT114" s="408" t="e">
        <f>SUM(AS114/AH114)</f>
        <v>#DIV/0!</v>
      </c>
      <c r="AU114" s="409" t="e">
        <f>IF(AT114&lt;4.5,AV113+1,0)</f>
        <v>#DIV/0!</v>
      </c>
    </row>
    <row r="115" spans="1:47">
      <c r="J115" s="374"/>
      <c r="K115" s="374"/>
      <c r="W115" s="159"/>
      <c r="AD115" s="153">
        <v>2</v>
      </c>
      <c r="AE115" s="286">
        <f t="shared" ref="AE115:AE147" si="26">FV($AH$109,1,0,(-AE114),0)</f>
        <v>0</v>
      </c>
      <c r="AG115" s="402">
        <f>FV($AH$109,1,0,(-AG114),0)</f>
        <v>0</v>
      </c>
      <c r="AH115" s="286">
        <f t="shared" ref="AH115:AH152" si="27">SUM(AE115+AG115)</f>
        <v>0</v>
      </c>
      <c r="AI115" s="386">
        <v>2</v>
      </c>
      <c r="AJ115" s="403" t="e">
        <f t="shared" si="25"/>
        <v>#DIV/0!</v>
      </c>
      <c r="AK115" s="386"/>
      <c r="AL115" s="404" t="e">
        <f t="shared" ref="AL115:AL147" si="28">SUM(AJ115/AH115)</f>
        <v>#DIV/0!</v>
      </c>
      <c r="AM115" s="386" t="e">
        <f t="shared" ref="AM115:AM153" si="29">IF(AL115&lt;4.5,AM114+1,0)</f>
        <v>#DIV/0!</v>
      </c>
      <c r="AN115" s="386"/>
      <c r="AO115" s="405">
        <f t="shared" ref="AO115:AO153" si="30">$B$73</f>
        <v>0</v>
      </c>
      <c r="AP115" s="406" t="e">
        <f t="shared" ref="AP115:AP147" si="31">SUM(AO115/AH115)</f>
        <v>#DIV/0!</v>
      </c>
      <c r="AQ115" s="390" t="e">
        <f t="shared" ref="AQ115:AQ146" si="32">IF(AP115&lt;4.5,AR114+1,0)</f>
        <v>#DIV/0!</v>
      </c>
      <c r="AR115" s="390"/>
      <c r="AS115" s="407" t="e">
        <f t="shared" ref="AS115:AS147" si="33">SUM(AJ115+AO115)</f>
        <v>#DIV/0!</v>
      </c>
      <c r="AT115" s="408" t="e">
        <f t="shared" ref="AT115:AT147" si="34">SUM(AS115/AH115)</f>
        <v>#DIV/0!</v>
      </c>
      <c r="AU115" s="409" t="e">
        <f t="shared" ref="AU115:AU147" si="35">IF(AT115&lt;4.5,AV114+1,0)</f>
        <v>#DIV/0!</v>
      </c>
    </row>
    <row r="116" spans="1:47">
      <c r="W116" s="159"/>
      <c r="AD116" s="153">
        <v>3</v>
      </c>
      <c r="AE116" s="286">
        <f t="shared" si="26"/>
        <v>0</v>
      </c>
      <c r="AG116" s="402">
        <f t="shared" ref="AG116:AG153" si="36">FV($AH$109,1,0,(-AG115),0)</f>
        <v>0</v>
      </c>
      <c r="AH116" s="286">
        <f t="shared" si="27"/>
        <v>0</v>
      </c>
      <c r="AI116" s="386">
        <v>3</v>
      </c>
      <c r="AJ116" s="403" t="e">
        <f t="shared" si="25"/>
        <v>#DIV/0!</v>
      </c>
      <c r="AK116" s="386"/>
      <c r="AL116" s="404" t="e">
        <f t="shared" si="28"/>
        <v>#DIV/0!</v>
      </c>
      <c r="AM116" s="386" t="e">
        <f t="shared" si="29"/>
        <v>#DIV/0!</v>
      </c>
      <c r="AN116" s="386"/>
      <c r="AO116" s="405">
        <f t="shared" si="30"/>
        <v>0</v>
      </c>
      <c r="AP116" s="406" t="e">
        <f t="shared" si="31"/>
        <v>#DIV/0!</v>
      </c>
      <c r="AQ116" s="390" t="e">
        <f t="shared" si="32"/>
        <v>#DIV/0!</v>
      </c>
      <c r="AR116" s="390"/>
      <c r="AS116" s="407" t="e">
        <f t="shared" si="33"/>
        <v>#DIV/0!</v>
      </c>
      <c r="AT116" s="408" t="e">
        <f t="shared" si="34"/>
        <v>#DIV/0!</v>
      </c>
      <c r="AU116" s="409" t="e">
        <f t="shared" si="35"/>
        <v>#DIV/0!</v>
      </c>
    </row>
    <row r="117" spans="1:47" ht="12.75" customHeight="1">
      <c r="D117" s="37"/>
      <c r="H117" s="37"/>
      <c r="W117" s="159"/>
      <c r="AD117" s="153">
        <v>4</v>
      </c>
      <c r="AE117" s="286">
        <f t="shared" si="26"/>
        <v>0</v>
      </c>
      <c r="AG117" s="402">
        <f t="shared" si="36"/>
        <v>0</v>
      </c>
      <c r="AH117" s="286">
        <f t="shared" si="27"/>
        <v>0</v>
      </c>
      <c r="AI117" s="386">
        <v>4</v>
      </c>
      <c r="AJ117" s="403" t="e">
        <f t="shared" si="25"/>
        <v>#DIV/0!</v>
      </c>
      <c r="AK117" s="386"/>
      <c r="AL117" s="404" t="e">
        <f t="shared" si="28"/>
        <v>#DIV/0!</v>
      </c>
      <c r="AM117" s="386" t="e">
        <f t="shared" si="29"/>
        <v>#DIV/0!</v>
      </c>
      <c r="AN117" s="386"/>
      <c r="AO117" s="405">
        <f t="shared" si="30"/>
        <v>0</v>
      </c>
      <c r="AP117" s="406" t="e">
        <f t="shared" si="31"/>
        <v>#DIV/0!</v>
      </c>
      <c r="AQ117" s="390" t="e">
        <f t="shared" si="32"/>
        <v>#DIV/0!</v>
      </c>
      <c r="AR117" s="390"/>
      <c r="AS117" s="407" t="e">
        <f t="shared" si="33"/>
        <v>#DIV/0!</v>
      </c>
      <c r="AT117" s="408" t="e">
        <f t="shared" si="34"/>
        <v>#DIV/0!</v>
      </c>
      <c r="AU117" s="409" t="e">
        <f t="shared" si="35"/>
        <v>#DIV/0!</v>
      </c>
    </row>
    <row r="118" spans="1:47" ht="12.75" customHeight="1">
      <c r="A118" s="43"/>
      <c r="D118" s="410"/>
      <c r="H118" s="40"/>
      <c r="I118" s="40"/>
      <c r="L118" s="411" t="s">
        <v>587</v>
      </c>
      <c r="R118" s="162" t="s">
        <v>589</v>
      </c>
      <c r="W118" s="159"/>
      <c r="AD118" s="153">
        <v>5</v>
      </c>
      <c r="AE118" s="286">
        <f t="shared" si="26"/>
        <v>0</v>
      </c>
      <c r="AG118" s="402">
        <f t="shared" si="36"/>
        <v>0</v>
      </c>
      <c r="AH118" s="286">
        <f t="shared" si="27"/>
        <v>0</v>
      </c>
      <c r="AI118" s="386">
        <v>5</v>
      </c>
      <c r="AJ118" s="403" t="e">
        <f t="shared" si="25"/>
        <v>#DIV/0!</v>
      </c>
      <c r="AK118" s="386"/>
      <c r="AL118" s="404" t="e">
        <f t="shared" si="28"/>
        <v>#DIV/0!</v>
      </c>
      <c r="AM118" s="386" t="e">
        <f>IF(AL118&lt;4.5,AM117+1,0)</f>
        <v>#DIV/0!</v>
      </c>
      <c r="AN118" s="386"/>
      <c r="AO118" s="405">
        <f t="shared" si="30"/>
        <v>0</v>
      </c>
      <c r="AP118" s="406" t="e">
        <f t="shared" si="31"/>
        <v>#DIV/0!</v>
      </c>
      <c r="AQ118" s="390" t="e">
        <f t="shared" si="32"/>
        <v>#DIV/0!</v>
      </c>
      <c r="AR118" s="390"/>
      <c r="AS118" s="407" t="e">
        <f t="shared" si="33"/>
        <v>#DIV/0!</v>
      </c>
      <c r="AT118" s="408" t="e">
        <f t="shared" si="34"/>
        <v>#DIV/0!</v>
      </c>
      <c r="AU118" s="409" t="e">
        <f t="shared" si="35"/>
        <v>#DIV/0!</v>
      </c>
    </row>
    <row r="119" spans="1:47">
      <c r="I119" s="40"/>
      <c r="L119" s="159"/>
      <c r="W119" s="159"/>
      <c r="AD119" s="153">
        <v>6</v>
      </c>
      <c r="AE119" s="286">
        <f t="shared" si="26"/>
        <v>0</v>
      </c>
      <c r="AG119" s="402">
        <f t="shared" si="36"/>
        <v>0</v>
      </c>
      <c r="AH119" s="286">
        <f t="shared" si="27"/>
        <v>0</v>
      </c>
      <c r="AI119" s="386">
        <v>6</v>
      </c>
      <c r="AJ119" s="403" t="e">
        <f t="shared" si="25"/>
        <v>#DIV/0!</v>
      </c>
      <c r="AK119" s="386"/>
      <c r="AL119" s="404" t="e">
        <f t="shared" si="28"/>
        <v>#DIV/0!</v>
      </c>
      <c r="AM119" s="386" t="e">
        <f>IF(AL119&lt;4.5,AM118+1,0)</f>
        <v>#DIV/0!</v>
      </c>
      <c r="AN119" s="386"/>
      <c r="AO119" s="405">
        <f t="shared" si="30"/>
        <v>0</v>
      </c>
      <c r="AP119" s="406" t="e">
        <f t="shared" si="31"/>
        <v>#DIV/0!</v>
      </c>
      <c r="AQ119" s="390" t="e">
        <f t="shared" si="32"/>
        <v>#DIV/0!</v>
      </c>
      <c r="AR119" s="390"/>
      <c r="AS119" s="407" t="e">
        <f t="shared" si="33"/>
        <v>#DIV/0!</v>
      </c>
      <c r="AT119" s="408" t="e">
        <f t="shared" si="34"/>
        <v>#DIV/0!</v>
      </c>
      <c r="AU119" s="409" t="e">
        <f t="shared" si="35"/>
        <v>#DIV/0!</v>
      </c>
    </row>
    <row r="120" spans="1:47">
      <c r="L120" s="146" t="s">
        <v>445</v>
      </c>
      <c r="O120" s="148">
        <f>O96</f>
        <v>-1393.8700966666663</v>
      </c>
      <c r="R120" s="139" t="s">
        <v>445</v>
      </c>
      <c r="U120" s="148">
        <f>O96</f>
        <v>-1393.8700966666663</v>
      </c>
      <c r="V120" s="148"/>
      <c r="AD120" s="153">
        <v>7</v>
      </c>
      <c r="AE120" s="286">
        <f t="shared" si="26"/>
        <v>0</v>
      </c>
      <c r="AG120" s="402">
        <f t="shared" si="36"/>
        <v>0</v>
      </c>
      <c r="AH120" s="286">
        <f t="shared" si="27"/>
        <v>0</v>
      </c>
      <c r="AI120" s="386">
        <v>7</v>
      </c>
      <c r="AJ120" s="403" t="e">
        <f t="shared" si="25"/>
        <v>#DIV/0!</v>
      </c>
      <c r="AK120" s="386"/>
      <c r="AL120" s="404" t="e">
        <f t="shared" si="28"/>
        <v>#DIV/0!</v>
      </c>
      <c r="AM120" s="386" t="e">
        <f t="shared" si="29"/>
        <v>#DIV/0!</v>
      </c>
      <c r="AN120" s="386"/>
      <c r="AO120" s="405">
        <f t="shared" si="30"/>
        <v>0</v>
      </c>
      <c r="AP120" s="406" t="e">
        <f t="shared" si="31"/>
        <v>#DIV/0!</v>
      </c>
      <c r="AQ120" s="390" t="e">
        <f t="shared" si="32"/>
        <v>#DIV/0!</v>
      </c>
      <c r="AR120" s="390"/>
      <c r="AS120" s="407" t="e">
        <f t="shared" si="33"/>
        <v>#DIV/0!</v>
      </c>
      <c r="AT120" s="408" t="e">
        <f t="shared" si="34"/>
        <v>#DIV/0!</v>
      </c>
      <c r="AU120" s="409" t="e">
        <f t="shared" si="35"/>
        <v>#DIV/0!</v>
      </c>
    </row>
    <row r="121" spans="1:47">
      <c r="J121" s="237" t="s">
        <v>26</v>
      </c>
      <c r="K121" s="237"/>
      <c r="L121" s="146" t="s">
        <v>596</v>
      </c>
      <c r="O121" s="148">
        <f>FLOOR(O120,10)</f>
        <v>-1400</v>
      </c>
      <c r="R121" s="159" t="s">
        <v>588</v>
      </c>
      <c r="U121" s="105">
        <f>FLOOR(U120,10)</f>
        <v>-1400</v>
      </c>
      <c r="V121" s="105" t="s">
        <v>565</v>
      </c>
      <c r="AD121" s="153">
        <v>8</v>
      </c>
      <c r="AE121" s="286">
        <f t="shared" si="26"/>
        <v>0</v>
      </c>
      <c r="AG121" s="402">
        <f t="shared" si="36"/>
        <v>0</v>
      </c>
      <c r="AH121" s="286">
        <f t="shared" si="27"/>
        <v>0</v>
      </c>
      <c r="AI121" s="386">
        <v>8</v>
      </c>
      <c r="AJ121" s="403" t="e">
        <f t="shared" si="25"/>
        <v>#DIV/0!</v>
      </c>
      <c r="AK121" s="386"/>
      <c r="AL121" s="404" t="e">
        <f t="shared" si="28"/>
        <v>#DIV/0!</v>
      </c>
      <c r="AM121" s="386" t="e">
        <f t="shared" si="29"/>
        <v>#DIV/0!</v>
      </c>
      <c r="AN121" s="386"/>
      <c r="AO121" s="405">
        <f t="shared" si="30"/>
        <v>0</v>
      </c>
      <c r="AP121" s="406" t="e">
        <f t="shared" si="31"/>
        <v>#DIV/0!</v>
      </c>
      <c r="AQ121" s="390" t="e">
        <f t="shared" si="32"/>
        <v>#DIV/0!</v>
      </c>
      <c r="AR121" s="390"/>
      <c r="AS121" s="407" t="e">
        <f t="shared" si="33"/>
        <v>#DIV/0!</v>
      </c>
      <c r="AT121" s="408" t="e">
        <f t="shared" si="34"/>
        <v>#DIV/0!</v>
      </c>
      <c r="AU121" s="409" t="e">
        <f t="shared" si="35"/>
        <v>#DIV/0!</v>
      </c>
    </row>
    <row r="122" spans="1:47">
      <c r="L122" s="146" t="s">
        <v>516</v>
      </c>
      <c r="O122" s="297" t="str">
        <f>X72</f>
        <v/>
      </c>
      <c r="R122" s="139" t="s">
        <v>590</v>
      </c>
      <c r="U122" s="418">
        <f>SUM(X73)*100</f>
        <v>0</v>
      </c>
      <c r="V122" s="104" t="s">
        <v>878</v>
      </c>
      <c r="AD122" s="153">
        <v>9</v>
      </c>
      <c r="AE122" s="286">
        <f t="shared" si="26"/>
        <v>0</v>
      </c>
      <c r="AG122" s="402">
        <f t="shared" si="36"/>
        <v>0</v>
      </c>
      <c r="AH122" s="286">
        <f t="shared" si="27"/>
        <v>0</v>
      </c>
      <c r="AI122" s="386">
        <v>9</v>
      </c>
      <c r="AJ122" s="403" t="e">
        <f t="shared" si="25"/>
        <v>#DIV/0!</v>
      </c>
      <c r="AK122" s="386"/>
      <c r="AL122" s="404" t="e">
        <f t="shared" si="28"/>
        <v>#DIV/0!</v>
      </c>
      <c r="AM122" s="386" t="e">
        <f t="shared" si="29"/>
        <v>#DIV/0!</v>
      </c>
      <c r="AN122" s="386"/>
      <c r="AO122" s="405">
        <f t="shared" si="30"/>
        <v>0</v>
      </c>
      <c r="AP122" s="406" t="e">
        <f t="shared" si="31"/>
        <v>#DIV/0!</v>
      </c>
      <c r="AQ122" s="390" t="e">
        <f t="shared" si="32"/>
        <v>#DIV/0!</v>
      </c>
      <c r="AR122" s="390"/>
      <c r="AS122" s="407" t="e">
        <f t="shared" si="33"/>
        <v>#DIV/0!</v>
      </c>
      <c r="AT122" s="408" t="e">
        <f t="shared" si="34"/>
        <v>#DIV/0!</v>
      </c>
      <c r="AU122" s="409" t="e">
        <f t="shared" si="35"/>
        <v>#DIV/0!</v>
      </c>
    </row>
    <row r="123" spans="1:47" ht="12.75" customHeight="1">
      <c r="L123" s="146" t="s">
        <v>522</v>
      </c>
      <c r="O123" s="375">
        <f>C72</f>
        <v>0</v>
      </c>
      <c r="R123" s="139" t="s">
        <v>522</v>
      </c>
      <c r="U123" s="375">
        <f>C73</f>
        <v>0</v>
      </c>
      <c r="V123" s="375"/>
      <c r="AD123" s="153">
        <v>10</v>
      </c>
      <c r="AE123" s="286">
        <f t="shared" si="26"/>
        <v>0</v>
      </c>
      <c r="AG123" s="402">
        <f t="shared" si="36"/>
        <v>0</v>
      </c>
      <c r="AH123" s="286">
        <f t="shared" si="27"/>
        <v>0</v>
      </c>
      <c r="AI123" s="386">
        <v>10</v>
      </c>
      <c r="AJ123" s="403" t="e">
        <f t="shared" si="25"/>
        <v>#DIV/0!</v>
      </c>
      <c r="AK123" s="386"/>
      <c r="AL123" s="404" t="e">
        <f t="shared" si="28"/>
        <v>#DIV/0!</v>
      </c>
      <c r="AM123" s="386" t="e">
        <f t="shared" si="29"/>
        <v>#DIV/0!</v>
      </c>
      <c r="AN123" s="386"/>
      <c r="AO123" s="405">
        <f t="shared" si="30"/>
        <v>0</v>
      </c>
      <c r="AP123" s="406" t="e">
        <f t="shared" si="31"/>
        <v>#DIV/0!</v>
      </c>
      <c r="AQ123" s="390" t="e">
        <f t="shared" si="32"/>
        <v>#DIV/0!</v>
      </c>
      <c r="AR123" s="390"/>
      <c r="AS123" s="407" t="e">
        <f t="shared" si="33"/>
        <v>#DIV/0!</v>
      </c>
      <c r="AT123" s="408" t="e">
        <f t="shared" si="34"/>
        <v>#DIV/0!</v>
      </c>
      <c r="AU123" s="409" t="e">
        <f t="shared" si="35"/>
        <v>#DIV/0!</v>
      </c>
    </row>
    <row r="124" spans="1:47" ht="13.8" thickBot="1">
      <c r="L124" s="146" t="s">
        <v>505</v>
      </c>
      <c r="O124" s="380" t="e">
        <f>PV(O122/12,(O123)*12,-O120)</f>
        <v>#VALUE!</v>
      </c>
      <c r="R124" s="139" t="s">
        <v>591</v>
      </c>
      <c r="U124" s="412" t="e">
        <f>SUM(U120*12)/U122*100</f>
        <v>#DIV/0!</v>
      </c>
      <c r="V124" s="101"/>
      <c r="AD124" s="153">
        <v>11</v>
      </c>
      <c r="AE124" s="286">
        <f t="shared" si="26"/>
        <v>0</v>
      </c>
      <c r="AG124" s="402">
        <f t="shared" si="36"/>
        <v>0</v>
      </c>
      <c r="AH124" s="286">
        <f t="shared" si="27"/>
        <v>0</v>
      </c>
      <c r="AI124" s="386">
        <v>11</v>
      </c>
      <c r="AJ124" s="403" t="e">
        <f t="shared" si="25"/>
        <v>#DIV/0!</v>
      </c>
      <c r="AK124" s="386"/>
      <c r="AL124" s="404" t="e">
        <f t="shared" si="28"/>
        <v>#DIV/0!</v>
      </c>
      <c r="AM124" s="386" t="e">
        <f t="shared" si="29"/>
        <v>#DIV/0!</v>
      </c>
      <c r="AN124" s="386"/>
      <c r="AO124" s="405">
        <f t="shared" si="30"/>
        <v>0</v>
      </c>
      <c r="AP124" s="406" t="e">
        <f t="shared" si="31"/>
        <v>#DIV/0!</v>
      </c>
      <c r="AQ124" s="390" t="e">
        <f t="shared" si="32"/>
        <v>#DIV/0!</v>
      </c>
      <c r="AR124" s="390"/>
      <c r="AS124" s="407" t="e">
        <f>SUM(AJ124+AO124)</f>
        <v>#DIV/0!</v>
      </c>
      <c r="AT124" s="408" t="e">
        <f t="shared" si="34"/>
        <v>#DIV/0!</v>
      </c>
      <c r="AU124" s="409" t="e">
        <f t="shared" si="35"/>
        <v>#DIV/0!</v>
      </c>
    </row>
    <row r="125" spans="1:47" ht="13.8" thickTop="1">
      <c r="AD125" s="153">
        <v>12</v>
      </c>
      <c r="AE125" s="286">
        <f t="shared" si="26"/>
        <v>0</v>
      </c>
      <c r="AG125" s="402">
        <f t="shared" si="36"/>
        <v>0</v>
      </c>
      <c r="AH125" s="286">
        <f t="shared" si="27"/>
        <v>0</v>
      </c>
      <c r="AI125" s="386">
        <v>12</v>
      </c>
      <c r="AJ125" s="403" t="e">
        <f t="shared" si="25"/>
        <v>#DIV/0!</v>
      </c>
      <c r="AK125" s="386"/>
      <c r="AL125" s="404" t="e">
        <f t="shared" si="28"/>
        <v>#DIV/0!</v>
      </c>
      <c r="AM125" s="386" t="e">
        <f t="shared" si="29"/>
        <v>#DIV/0!</v>
      </c>
      <c r="AN125" s="386"/>
      <c r="AO125" s="405">
        <f t="shared" si="30"/>
        <v>0</v>
      </c>
      <c r="AP125" s="406" t="e">
        <f t="shared" si="31"/>
        <v>#DIV/0!</v>
      </c>
      <c r="AQ125" s="390" t="e">
        <f t="shared" si="32"/>
        <v>#DIV/0!</v>
      </c>
      <c r="AR125" s="390"/>
      <c r="AS125" s="407" t="e">
        <f t="shared" si="33"/>
        <v>#DIV/0!</v>
      </c>
      <c r="AT125" s="408" t="e">
        <f t="shared" si="34"/>
        <v>#DIV/0!</v>
      </c>
      <c r="AU125" s="409" t="e">
        <f t="shared" si="35"/>
        <v>#DIV/0!</v>
      </c>
    </row>
    <row r="126" spans="1:47">
      <c r="B126" s="413"/>
      <c r="J126" s="43"/>
      <c r="K126" s="43"/>
      <c r="L126" s="146" t="s">
        <v>523</v>
      </c>
      <c r="O126" s="105" t="e">
        <f>FLOOR(O124,1000)</f>
        <v>#VALUE!</v>
      </c>
      <c r="P126" s="104" t="s">
        <v>565</v>
      </c>
      <c r="R126" s="139" t="s">
        <v>523</v>
      </c>
      <c r="U126" s="101" t="e">
        <f>FLOOR(U124,1000)</f>
        <v>#DIV/0!</v>
      </c>
      <c r="V126" s="105" t="s">
        <v>565</v>
      </c>
      <c r="AD126" s="153">
        <v>13</v>
      </c>
      <c r="AE126" s="286">
        <f t="shared" si="26"/>
        <v>0</v>
      </c>
      <c r="AG126" s="402">
        <f t="shared" si="36"/>
        <v>0</v>
      </c>
      <c r="AH126" s="286">
        <f t="shared" si="27"/>
        <v>0</v>
      </c>
      <c r="AI126" s="386">
        <v>13</v>
      </c>
      <c r="AJ126" s="403" t="e">
        <f t="shared" si="25"/>
        <v>#DIV/0!</v>
      </c>
      <c r="AK126" s="386"/>
      <c r="AL126" s="404" t="e">
        <f t="shared" si="28"/>
        <v>#DIV/0!</v>
      </c>
      <c r="AM126" s="386" t="e">
        <f t="shared" si="29"/>
        <v>#DIV/0!</v>
      </c>
      <c r="AN126" s="386"/>
      <c r="AO126" s="405">
        <f t="shared" si="30"/>
        <v>0</v>
      </c>
      <c r="AP126" s="406" t="e">
        <f t="shared" si="31"/>
        <v>#DIV/0!</v>
      </c>
      <c r="AQ126" s="390" t="e">
        <f t="shared" si="32"/>
        <v>#DIV/0!</v>
      </c>
      <c r="AR126" s="390"/>
      <c r="AS126" s="407" t="e">
        <f t="shared" si="33"/>
        <v>#DIV/0!</v>
      </c>
      <c r="AT126" s="408" t="e">
        <f t="shared" si="34"/>
        <v>#DIV/0!</v>
      </c>
      <c r="AU126" s="409" t="e">
        <f t="shared" si="35"/>
        <v>#DIV/0!</v>
      </c>
    </row>
    <row r="127" spans="1:47">
      <c r="P127" s="139" t="s">
        <v>26</v>
      </c>
      <c r="AD127" s="153">
        <v>14</v>
      </c>
      <c r="AE127" s="286">
        <f t="shared" si="26"/>
        <v>0</v>
      </c>
      <c r="AG127" s="402">
        <f t="shared" si="36"/>
        <v>0</v>
      </c>
      <c r="AH127" s="286">
        <f t="shared" si="27"/>
        <v>0</v>
      </c>
      <c r="AI127" s="386">
        <v>14</v>
      </c>
      <c r="AJ127" s="403" t="e">
        <f t="shared" si="25"/>
        <v>#DIV/0!</v>
      </c>
      <c r="AK127" s="386"/>
      <c r="AL127" s="404" t="e">
        <f t="shared" si="28"/>
        <v>#DIV/0!</v>
      </c>
      <c r="AM127" s="386" t="e">
        <f t="shared" si="29"/>
        <v>#DIV/0!</v>
      </c>
      <c r="AN127" s="386"/>
      <c r="AO127" s="405">
        <f t="shared" si="30"/>
        <v>0</v>
      </c>
      <c r="AP127" s="406" t="e">
        <f t="shared" si="31"/>
        <v>#DIV/0!</v>
      </c>
      <c r="AQ127" s="390" t="e">
        <f t="shared" si="32"/>
        <v>#DIV/0!</v>
      </c>
      <c r="AR127" s="390"/>
      <c r="AS127" s="407" t="e">
        <f t="shared" si="33"/>
        <v>#DIV/0!</v>
      </c>
      <c r="AT127" s="408" t="e">
        <f t="shared" si="34"/>
        <v>#DIV/0!</v>
      </c>
      <c r="AU127" s="409" t="e">
        <f t="shared" si="35"/>
        <v>#DIV/0!</v>
      </c>
    </row>
    <row r="128" spans="1:47">
      <c r="L128" s="139" t="s">
        <v>600</v>
      </c>
      <c r="O128" s="414" t="e">
        <f>SUM(O96/AK72)</f>
        <v>#VALUE!</v>
      </c>
      <c r="R128" s="139" t="s">
        <v>600</v>
      </c>
      <c r="T128" s="148" t="e">
        <f>SUM(U124*6.34%)/12</f>
        <v>#DIV/0!</v>
      </c>
      <c r="U128" s="414" t="e">
        <f>SUM(U120/T128)</f>
        <v>#DIV/0!</v>
      </c>
      <c r="V128" s="414"/>
      <c r="AD128" s="153">
        <v>15</v>
      </c>
      <c r="AE128" s="286">
        <f t="shared" si="26"/>
        <v>0</v>
      </c>
      <c r="AG128" s="402">
        <f t="shared" si="36"/>
        <v>0</v>
      </c>
      <c r="AH128" s="286">
        <f t="shared" si="27"/>
        <v>0</v>
      </c>
      <c r="AI128" s="386">
        <v>15</v>
      </c>
      <c r="AJ128" s="403" t="e">
        <f t="shared" si="25"/>
        <v>#DIV/0!</v>
      </c>
      <c r="AK128" s="386"/>
      <c r="AL128" s="404" t="e">
        <f t="shared" si="28"/>
        <v>#DIV/0!</v>
      </c>
      <c r="AM128" s="386" t="e">
        <f t="shared" si="29"/>
        <v>#DIV/0!</v>
      </c>
      <c r="AN128" s="386"/>
      <c r="AO128" s="405">
        <f t="shared" si="30"/>
        <v>0</v>
      </c>
      <c r="AP128" s="406" t="e">
        <f>SUM(AO128/AH128)</f>
        <v>#DIV/0!</v>
      </c>
      <c r="AQ128" s="390" t="e">
        <f t="shared" si="32"/>
        <v>#DIV/0!</v>
      </c>
      <c r="AR128" s="390"/>
      <c r="AS128" s="407" t="e">
        <f t="shared" si="33"/>
        <v>#DIV/0!</v>
      </c>
      <c r="AT128" s="408" t="e">
        <f t="shared" si="34"/>
        <v>#DIV/0!</v>
      </c>
      <c r="AU128" s="409" t="e">
        <f t="shared" si="35"/>
        <v>#DIV/0!</v>
      </c>
    </row>
    <row r="129" spans="1:47">
      <c r="A129" s="415"/>
      <c r="I129" s="216"/>
      <c r="AD129" s="153">
        <v>16</v>
      </c>
      <c r="AE129" s="286">
        <f t="shared" si="26"/>
        <v>0</v>
      </c>
      <c r="AG129" s="402">
        <f t="shared" si="36"/>
        <v>0</v>
      </c>
      <c r="AH129" s="286">
        <f t="shared" si="27"/>
        <v>0</v>
      </c>
      <c r="AI129" s="386">
        <v>16</v>
      </c>
      <c r="AJ129" s="403" t="e">
        <f t="shared" si="25"/>
        <v>#DIV/0!</v>
      </c>
      <c r="AK129" s="386"/>
      <c r="AL129" s="404" t="e">
        <f t="shared" si="28"/>
        <v>#DIV/0!</v>
      </c>
      <c r="AM129" s="386" t="e">
        <f t="shared" si="29"/>
        <v>#DIV/0!</v>
      </c>
      <c r="AN129" s="386"/>
      <c r="AO129" s="405">
        <f t="shared" si="30"/>
        <v>0</v>
      </c>
      <c r="AP129" s="406" t="e">
        <f t="shared" si="31"/>
        <v>#DIV/0!</v>
      </c>
      <c r="AQ129" s="390" t="e">
        <f t="shared" si="32"/>
        <v>#DIV/0!</v>
      </c>
      <c r="AR129" s="390"/>
      <c r="AS129" s="407" t="e">
        <f>SUM(AJ129+AO129)</f>
        <v>#DIV/0!</v>
      </c>
      <c r="AT129" s="408" t="e">
        <f t="shared" si="34"/>
        <v>#DIV/0!</v>
      </c>
      <c r="AU129" s="409" t="e">
        <f t="shared" si="35"/>
        <v>#DIV/0!</v>
      </c>
    </row>
    <row r="130" spans="1:47">
      <c r="L130" s="162" t="s">
        <v>593</v>
      </c>
      <c r="R130" s="139" t="s">
        <v>609</v>
      </c>
      <c r="T130" s="213" t="s">
        <v>613</v>
      </c>
      <c r="U130" s="311" t="s">
        <v>670</v>
      </c>
      <c r="V130" s="311"/>
      <c r="X130" s="416"/>
      <c r="AD130" s="153">
        <v>17</v>
      </c>
      <c r="AE130" s="286">
        <f t="shared" si="26"/>
        <v>0</v>
      </c>
      <c r="AG130" s="402">
        <f t="shared" si="36"/>
        <v>0</v>
      </c>
      <c r="AH130" s="286">
        <f t="shared" si="27"/>
        <v>0</v>
      </c>
      <c r="AI130" s="386">
        <v>17</v>
      </c>
      <c r="AJ130" s="403" t="e">
        <f t="shared" si="25"/>
        <v>#DIV/0!</v>
      </c>
      <c r="AK130" s="386"/>
      <c r="AL130" s="404" t="e">
        <f t="shared" si="28"/>
        <v>#DIV/0!</v>
      </c>
      <c r="AM130" s="386" t="e">
        <f t="shared" si="29"/>
        <v>#DIV/0!</v>
      </c>
      <c r="AN130" s="386"/>
      <c r="AO130" s="405">
        <f t="shared" si="30"/>
        <v>0</v>
      </c>
      <c r="AP130" s="406" t="e">
        <f t="shared" si="31"/>
        <v>#DIV/0!</v>
      </c>
      <c r="AQ130" s="390" t="e">
        <f t="shared" si="32"/>
        <v>#DIV/0!</v>
      </c>
      <c r="AR130" s="390"/>
      <c r="AS130" s="407" t="e">
        <f t="shared" si="33"/>
        <v>#DIV/0!</v>
      </c>
      <c r="AT130" s="408" t="e">
        <f t="shared" si="34"/>
        <v>#DIV/0!</v>
      </c>
      <c r="AU130" s="409" t="e">
        <f t="shared" si="35"/>
        <v>#DIV/0!</v>
      </c>
    </row>
    <row r="131" spans="1:47">
      <c r="W131" s="162" t="s">
        <v>772</v>
      </c>
      <c r="AD131" s="153">
        <v>18</v>
      </c>
      <c r="AE131" s="286">
        <f t="shared" si="26"/>
        <v>0</v>
      </c>
      <c r="AG131" s="402">
        <f t="shared" si="36"/>
        <v>0</v>
      </c>
      <c r="AH131" s="286">
        <f t="shared" si="27"/>
        <v>0</v>
      </c>
      <c r="AI131" s="386">
        <v>18</v>
      </c>
      <c r="AJ131" s="403" t="e">
        <f t="shared" si="25"/>
        <v>#DIV/0!</v>
      </c>
      <c r="AK131" s="386"/>
      <c r="AL131" s="404" t="e">
        <f t="shared" si="28"/>
        <v>#DIV/0!</v>
      </c>
      <c r="AM131" s="386" t="e">
        <f t="shared" si="29"/>
        <v>#DIV/0!</v>
      </c>
      <c r="AN131" s="386"/>
      <c r="AO131" s="405">
        <f t="shared" si="30"/>
        <v>0</v>
      </c>
      <c r="AP131" s="406" t="e">
        <f t="shared" si="31"/>
        <v>#DIV/0!</v>
      </c>
      <c r="AQ131" s="390" t="e">
        <f t="shared" si="32"/>
        <v>#DIV/0!</v>
      </c>
      <c r="AR131" s="390"/>
      <c r="AS131" s="407" t="e">
        <f t="shared" si="33"/>
        <v>#DIV/0!</v>
      </c>
      <c r="AT131" s="408" t="e">
        <f t="shared" si="34"/>
        <v>#DIV/0!</v>
      </c>
      <c r="AU131" s="409" t="e">
        <f t="shared" si="35"/>
        <v>#DIV/0!</v>
      </c>
    </row>
    <row r="132" spans="1:47">
      <c r="G132" s="417"/>
      <c r="H132" s="417"/>
      <c r="L132" s="146" t="s">
        <v>592</v>
      </c>
      <c r="O132" s="148">
        <f>B73</f>
        <v>0</v>
      </c>
      <c r="P132" s="159" t="s">
        <v>669</v>
      </c>
      <c r="R132" s="139" t="s">
        <v>576</v>
      </c>
      <c r="T132" s="148" t="e">
        <f>O124</f>
        <v>#VALUE!</v>
      </c>
      <c r="U132" s="148" t="e">
        <f>IF(T132&gt;T136,T136,T132)</f>
        <v>#VALUE!</v>
      </c>
      <c r="V132" s="148"/>
      <c r="W132" s="148" t="e">
        <f>IF(U132&lt;0,0,U132)</f>
        <v>#VALUE!</v>
      </c>
      <c r="AD132" s="153">
        <v>19</v>
      </c>
      <c r="AE132" s="286">
        <f t="shared" si="26"/>
        <v>0</v>
      </c>
      <c r="AG132" s="402">
        <f t="shared" si="36"/>
        <v>0</v>
      </c>
      <c r="AH132" s="286">
        <f t="shared" si="27"/>
        <v>0</v>
      </c>
      <c r="AI132" s="386">
        <v>19</v>
      </c>
      <c r="AJ132" s="403" t="e">
        <f t="shared" si="25"/>
        <v>#DIV/0!</v>
      </c>
      <c r="AK132" s="386"/>
      <c r="AL132" s="404" t="e">
        <f t="shared" si="28"/>
        <v>#DIV/0!</v>
      </c>
      <c r="AM132" s="386" t="e">
        <f>IF(AL132&lt;4.5,AM131+1,0)</f>
        <v>#DIV/0!</v>
      </c>
      <c r="AN132" s="386"/>
      <c r="AO132" s="405">
        <f t="shared" si="30"/>
        <v>0</v>
      </c>
      <c r="AP132" s="406" t="e">
        <f t="shared" si="31"/>
        <v>#DIV/0!</v>
      </c>
      <c r="AQ132" s="390" t="e">
        <f t="shared" si="32"/>
        <v>#DIV/0!</v>
      </c>
      <c r="AR132" s="390"/>
      <c r="AS132" s="407" t="e">
        <f t="shared" si="33"/>
        <v>#DIV/0!</v>
      </c>
      <c r="AT132" s="408" t="e">
        <f t="shared" si="34"/>
        <v>#DIV/0!</v>
      </c>
      <c r="AU132" s="409" t="e">
        <f t="shared" si="35"/>
        <v>#DIV/0!</v>
      </c>
    </row>
    <row r="133" spans="1:47">
      <c r="J133" s="237"/>
      <c r="K133" s="237"/>
      <c r="L133" s="146" t="s">
        <v>597</v>
      </c>
      <c r="O133" s="148" t="e">
        <f>SUM(X73*O132)/12</f>
        <v>#VALUE!</v>
      </c>
      <c r="P133" s="159" t="s">
        <v>669</v>
      </c>
      <c r="R133" s="139" t="s">
        <v>172</v>
      </c>
      <c r="T133" s="148" t="e">
        <f>U124</f>
        <v>#DIV/0!</v>
      </c>
      <c r="U133" s="148" t="e">
        <f>IF(T133&gt;T136,T136,T133)</f>
        <v>#DIV/0!</v>
      </c>
      <c r="V133" s="148"/>
      <c r="W133" s="148" t="e">
        <f>IF(U133&lt;0,0,U133)</f>
        <v>#DIV/0!</v>
      </c>
      <c r="AD133" s="153">
        <v>20</v>
      </c>
      <c r="AE133" s="286">
        <f t="shared" si="26"/>
        <v>0</v>
      </c>
      <c r="AG133" s="402">
        <f t="shared" si="36"/>
        <v>0</v>
      </c>
      <c r="AH133" s="286">
        <f t="shared" si="27"/>
        <v>0</v>
      </c>
      <c r="AI133" s="386">
        <v>20</v>
      </c>
      <c r="AJ133" s="403" t="e">
        <f t="shared" si="25"/>
        <v>#DIV/0!</v>
      </c>
      <c r="AK133" s="386"/>
      <c r="AL133" s="404" t="e">
        <f t="shared" si="28"/>
        <v>#DIV/0!</v>
      </c>
      <c r="AM133" s="386" t="e">
        <f>IF(AL133&lt;4.5,AM132+1,0)</f>
        <v>#DIV/0!</v>
      </c>
      <c r="AN133" s="386"/>
      <c r="AO133" s="405">
        <f t="shared" si="30"/>
        <v>0</v>
      </c>
      <c r="AP133" s="406" t="e">
        <f t="shared" si="31"/>
        <v>#DIV/0!</v>
      </c>
      <c r="AQ133" s="390" t="e">
        <f t="shared" si="32"/>
        <v>#DIV/0!</v>
      </c>
      <c r="AR133" s="390"/>
      <c r="AS133" s="407" t="e">
        <f t="shared" si="33"/>
        <v>#DIV/0!</v>
      </c>
      <c r="AT133" s="408" t="e">
        <f t="shared" si="34"/>
        <v>#DIV/0!</v>
      </c>
      <c r="AU133" s="409" t="e">
        <f t="shared" si="35"/>
        <v>#DIV/0!</v>
      </c>
    </row>
    <row r="134" spans="1:47">
      <c r="G134" s="66" t="s">
        <v>26</v>
      </c>
      <c r="J134" s="237"/>
      <c r="K134" s="237"/>
      <c r="L134" s="146" t="s">
        <v>594</v>
      </c>
      <c r="O134" s="148" t="e">
        <f>SUM(O96-O133)</f>
        <v>#VALUE!</v>
      </c>
      <c r="P134" s="159" t="s">
        <v>669</v>
      </c>
      <c r="R134" s="139" t="s">
        <v>206</v>
      </c>
      <c r="T134" s="148" t="e">
        <f>O141</f>
        <v>#VALUE!</v>
      </c>
      <c r="U134" s="148" t="e">
        <f>IF(T134&gt;T136,T136,T134)</f>
        <v>#VALUE!</v>
      </c>
      <c r="V134" s="148"/>
      <c r="W134" s="148" t="e">
        <f>IF(U134&lt;0,0,U134)</f>
        <v>#VALUE!</v>
      </c>
      <c r="AD134" s="153">
        <v>21</v>
      </c>
      <c r="AE134" s="286">
        <f t="shared" si="26"/>
        <v>0</v>
      </c>
      <c r="AG134" s="402">
        <f t="shared" si="36"/>
        <v>0</v>
      </c>
      <c r="AH134" s="286">
        <f t="shared" si="27"/>
        <v>0</v>
      </c>
      <c r="AI134" s="386">
        <v>21</v>
      </c>
      <c r="AJ134" s="403" t="e">
        <f t="shared" si="25"/>
        <v>#DIV/0!</v>
      </c>
      <c r="AK134" s="386"/>
      <c r="AL134" s="404" t="e">
        <f t="shared" si="28"/>
        <v>#DIV/0!</v>
      </c>
      <c r="AM134" s="386" t="e">
        <f t="shared" si="29"/>
        <v>#DIV/0!</v>
      </c>
      <c r="AN134" s="386"/>
      <c r="AO134" s="405">
        <f t="shared" si="30"/>
        <v>0</v>
      </c>
      <c r="AP134" s="406" t="e">
        <f t="shared" si="31"/>
        <v>#DIV/0!</v>
      </c>
      <c r="AQ134" s="390" t="e">
        <f t="shared" si="32"/>
        <v>#DIV/0!</v>
      </c>
      <c r="AR134" s="390"/>
      <c r="AS134" s="407" t="e">
        <f>SUM(AJ134+AO134)</f>
        <v>#DIV/0!</v>
      </c>
      <c r="AT134" s="408" t="e">
        <f t="shared" si="34"/>
        <v>#DIV/0!</v>
      </c>
      <c r="AU134" s="409" t="e">
        <f t="shared" si="35"/>
        <v>#DIV/0!</v>
      </c>
    </row>
    <row r="135" spans="1:47">
      <c r="L135" s="146" t="s">
        <v>595</v>
      </c>
      <c r="O135" s="418" t="e">
        <f>FLOOR(O134,100)</f>
        <v>#VALUE!</v>
      </c>
      <c r="P135" s="159" t="s">
        <v>669</v>
      </c>
      <c r="AD135" s="153">
        <v>22</v>
      </c>
      <c r="AE135" s="286">
        <f t="shared" si="26"/>
        <v>0</v>
      </c>
      <c r="AG135" s="402">
        <f t="shared" si="36"/>
        <v>0</v>
      </c>
      <c r="AH135" s="286">
        <f t="shared" si="27"/>
        <v>0</v>
      </c>
      <c r="AI135" s="386">
        <v>22</v>
      </c>
      <c r="AJ135" s="403" t="e">
        <f t="shared" si="25"/>
        <v>#DIV/0!</v>
      </c>
      <c r="AK135" s="386"/>
      <c r="AL135" s="404" t="e">
        <f t="shared" si="28"/>
        <v>#DIV/0!</v>
      </c>
      <c r="AM135" s="386" t="e">
        <f t="shared" si="29"/>
        <v>#DIV/0!</v>
      </c>
      <c r="AN135" s="386"/>
      <c r="AO135" s="405">
        <f t="shared" si="30"/>
        <v>0</v>
      </c>
      <c r="AP135" s="406" t="e">
        <f t="shared" si="31"/>
        <v>#DIV/0!</v>
      </c>
      <c r="AQ135" s="390" t="e">
        <f t="shared" si="32"/>
        <v>#DIV/0!</v>
      </c>
      <c r="AR135" s="390"/>
      <c r="AS135" s="407" t="e">
        <f t="shared" si="33"/>
        <v>#DIV/0!</v>
      </c>
      <c r="AT135" s="408" t="e">
        <f t="shared" si="34"/>
        <v>#DIV/0!</v>
      </c>
      <c r="AU135" s="409" t="e">
        <f t="shared" si="35"/>
        <v>#DIV/0!</v>
      </c>
    </row>
    <row r="136" spans="1:47">
      <c r="L136" s="146" t="s">
        <v>516</v>
      </c>
      <c r="O136" s="297">
        <f>S5</f>
        <v>0</v>
      </c>
      <c r="P136" s="159" t="s">
        <v>669</v>
      </c>
      <c r="R136" s="139" t="s">
        <v>671</v>
      </c>
      <c r="T136" s="148">
        <f>S110</f>
        <v>0</v>
      </c>
      <c r="U136" s="139" t="s">
        <v>666</v>
      </c>
      <c r="AD136" s="153">
        <v>23</v>
      </c>
      <c r="AE136" s="286">
        <f t="shared" si="26"/>
        <v>0</v>
      </c>
      <c r="AG136" s="402">
        <f t="shared" si="36"/>
        <v>0</v>
      </c>
      <c r="AH136" s="286">
        <f t="shared" si="27"/>
        <v>0</v>
      </c>
      <c r="AI136" s="386">
        <v>23</v>
      </c>
      <c r="AJ136" s="403" t="e">
        <f t="shared" si="25"/>
        <v>#DIV/0!</v>
      </c>
      <c r="AK136" s="386"/>
      <c r="AL136" s="404" t="e">
        <f t="shared" si="28"/>
        <v>#DIV/0!</v>
      </c>
      <c r="AM136" s="386" t="e">
        <f t="shared" si="29"/>
        <v>#DIV/0!</v>
      </c>
      <c r="AN136" s="386"/>
      <c r="AO136" s="405">
        <f t="shared" si="30"/>
        <v>0</v>
      </c>
      <c r="AP136" s="406" t="e">
        <f t="shared" si="31"/>
        <v>#DIV/0!</v>
      </c>
      <c r="AQ136" s="390" t="e">
        <f t="shared" si="32"/>
        <v>#DIV/0!</v>
      </c>
      <c r="AR136" s="390"/>
      <c r="AS136" s="407" t="e">
        <f t="shared" si="33"/>
        <v>#DIV/0!</v>
      </c>
      <c r="AT136" s="408" t="e">
        <f t="shared" si="34"/>
        <v>#DIV/0!</v>
      </c>
      <c r="AU136" s="409" t="e">
        <f t="shared" si="35"/>
        <v>#DIV/0!</v>
      </c>
    </row>
    <row r="137" spans="1:47">
      <c r="L137" s="146" t="s">
        <v>522</v>
      </c>
      <c r="O137" s="375">
        <f>C73</f>
        <v>0</v>
      </c>
      <c r="P137" s="159" t="s">
        <v>669</v>
      </c>
      <c r="AD137" s="153">
        <v>24</v>
      </c>
      <c r="AE137" s="286">
        <f t="shared" si="26"/>
        <v>0</v>
      </c>
      <c r="AG137" s="402">
        <f t="shared" si="36"/>
        <v>0</v>
      </c>
      <c r="AH137" s="286">
        <f t="shared" si="27"/>
        <v>0</v>
      </c>
      <c r="AI137" s="386">
        <v>24</v>
      </c>
      <c r="AJ137" s="403" t="e">
        <f t="shared" si="25"/>
        <v>#DIV/0!</v>
      </c>
      <c r="AK137" s="386"/>
      <c r="AL137" s="404" t="e">
        <f t="shared" si="28"/>
        <v>#DIV/0!</v>
      </c>
      <c r="AM137" s="386" t="e">
        <f t="shared" si="29"/>
        <v>#DIV/0!</v>
      </c>
      <c r="AN137" s="386"/>
      <c r="AO137" s="405">
        <f t="shared" si="30"/>
        <v>0</v>
      </c>
      <c r="AP137" s="406" t="e">
        <f t="shared" si="31"/>
        <v>#DIV/0!</v>
      </c>
      <c r="AQ137" s="390" t="e">
        <f t="shared" si="32"/>
        <v>#DIV/0!</v>
      </c>
      <c r="AR137" s="390"/>
      <c r="AS137" s="407" t="e">
        <f t="shared" si="33"/>
        <v>#DIV/0!</v>
      </c>
      <c r="AT137" s="408" t="e">
        <f t="shared" si="34"/>
        <v>#DIV/0!</v>
      </c>
      <c r="AU137" s="409" t="e">
        <f t="shared" si="35"/>
        <v>#DIV/0!</v>
      </c>
    </row>
    <row r="138" spans="1:47">
      <c r="L138" s="146" t="s">
        <v>599</v>
      </c>
      <c r="O138" s="402" t="e">
        <f>PV(O136/12,(O137)*12,-O134)</f>
        <v>#VALUE!</v>
      </c>
      <c r="R138" s="162" t="s">
        <v>715</v>
      </c>
      <c r="AD138" s="153">
        <v>25</v>
      </c>
      <c r="AE138" s="286">
        <f t="shared" si="26"/>
        <v>0</v>
      </c>
      <c r="AG138" s="402">
        <f t="shared" si="36"/>
        <v>0</v>
      </c>
      <c r="AH138" s="286">
        <f t="shared" si="27"/>
        <v>0</v>
      </c>
      <c r="AI138" s="386">
        <v>25</v>
      </c>
      <c r="AJ138" s="403" t="e">
        <f t="shared" si="25"/>
        <v>#DIV/0!</v>
      </c>
      <c r="AK138" s="386"/>
      <c r="AL138" s="404" t="e">
        <f t="shared" si="28"/>
        <v>#DIV/0!</v>
      </c>
      <c r="AM138" s="386" t="e">
        <f t="shared" si="29"/>
        <v>#DIV/0!</v>
      </c>
      <c r="AN138" s="386"/>
      <c r="AO138" s="405">
        <f t="shared" si="30"/>
        <v>0</v>
      </c>
      <c r="AP138" s="406" t="e">
        <f t="shared" si="31"/>
        <v>#DIV/0!</v>
      </c>
      <c r="AQ138" s="390" t="e">
        <f t="shared" si="32"/>
        <v>#DIV/0!</v>
      </c>
      <c r="AR138" s="390"/>
      <c r="AS138" s="407" t="e">
        <f t="shared" si="33"/>
        <v>#DIV/0!</v>
      </c>
      <c r="AT138" s="408" t="e">
        <f t="shared" si="34"/>
        <v>#DIV/0!</v>
      </c>
      <c r="AU138" s="409" t="e">
        <f t="shared" si="35"/>
        <v>#DIV/0!</v>
      </c>
    </row>
    <row r="139" spans="1:47">
      <c r="L139" s="146" t="s">
        <v>598</v>
      </c>
      <c r="O139" s="105">
        <f>SUM(O132*10%)</f>
        <v>0</v>
      </c>
      <c r="P139" s="104" t="s">
        <v>877</v>
      </c>
      <c r="Q139" s="139" t="s">
        <v>600</v>
      </c>
      <c r="R139" s="419" t="str">
        <f>D68</f>
        <v>Capital Repayment</v>
      </c>
      <c r="S139" s="127"/>
      <c r="T139" s="127" t="s">
        <v>615</v>
      </c>
      <c r="U139" s="122" t="e">
        <f>IF(R139=R132,FLOOR(U132,1000),IF(R139=R133,FLOOR(U133,1000),IF(R139=R134,FLOOR(U134,1000))))</f>
        <v>#VALUE!</v>
      </c>
      <c r="V139" s="122"/>
      <c r="AD139" s="153">
        <v>26</v>
      </c>
      <c r="AE139" s="286">
        <f t="shared" si="26"/>
        <v>0</v>
      </c>
      <c r="AG139" s="402">
        <f t="shared" si="36"/>
        <v>0</v>
      </c>
      <c r="AH139" s="286">
        <f t="shared" si="27"/>
        <v>0</v>
      </c>
      <c r="AI139" s="386">
        <v>26</v>
      </c>
      <c r="AJ139" s="403" t="e">
        <f t="shared" si="25"/>
        <v>#DIV/0!</v>
      </c>
      <c r="AK139" s="386"/>
      <c r="AL139" s="404" t="e">
        <f t="shared" si="28"/>
        <v>#DIV/0!</v>
      </c>
      <c r="AM139" s="386" t="e">
        <f t="shared" si="29"/>
        <v>#DIV/0!</v>
      </c>
      <c r="AN139" s="386"/>
      <c r="AO139" s="405">
        <f t="shared" si="30"/>
        <v>0</v>
      </c>
      <c r="AP139" s="406" t="e">
        <f t="shared" si="31"/>
        <v>#DIV/0!</v>
      </c>
      <c r="AQ139" s="390" t="e">
        <f t="shared" si="32"/>
        <v>#DIV/0!</v>
      </c>
      <c r="AR139" s="390"/>
      <c r="AS139" s="407" t="e">
        <f t="shared" si="33"/>
        <v>#DIV/0!</v>
      </c>
      <c r="AT139" s="408" t="e">
        <f t="shared" si="34"/>
        <v>#DIV/0!</v>
      </c>
      <c r="AU139" s="409" t="e">
        <f t="shared" si="35"/>
        <v>#DIV/0!</v>
      </c>
    </row>
    <row r="140" spans="1:47">
      <c r="L140" s="146" t="s">
        <v>601</v>
      </c>
      <c r="O140" s="105" t="e">
        <f>FLOOR(O138-O139,1000)</f>
        <v>#VALUE!</v>
      </c>
      <c r="P140" s="104" t="s">
        <v>877</v>
      </c>
      <c r="Q140" s="420">
        <f>SUM(AJ72+AJ73)</f>
        <v>0</v>
      </c>
      <c r="AD140" s="153">
        <v>27</v>
      </c>
      <c r="AE140" s="286">
        <f t="shared" si="26"/>
        <v>0</v>
      </c>
      <c r="AG140" s="402">
        <f t="shared" si="36"/>
        <v>0</v>
      </c>
      <c r="AH140" s="286">
        <f t="shared" si="27"/>
        <v>0</v>
      </c>
      <c r="AI140" s="386">
        <v>27</v>
      </c>
      <c r="AJ140" s="403" t="e">
        <f t="shared" si="25"/>
        <v>#DIV/0!</v>
      </c>
      <c r="AK140" s="386"/>
      <c r="AL140" s="404" t="e">
        <f t="shared" si="28"/>
        <v>#DIV/0!</v>
      </c>
      <c r="AM140" s="386" t="e">
        <f t="shared" si="29"/>
        <v>#DIV/0!</v>
      </c>
      <c r="AN140" s="386"/>
      <c r="AO140" s="405">
        <f t="shared" si="30"/>
        <v>0</v>
      </c>
      <c r="AP140" s="406" t="e">
        <f t="shared" si="31"/>
        <v>#DIV/0!</v>
      </c>
      <c r="AQ140" s="390" t="e">
        <f t="shared" si="32"/>
        <v>#DIV/0!</v>
      </c>
      <c r="AR140" s="390"/>
      <c r="AS140" s="407" t="e">
        <f t="shared" si="33"/>
        <v>#DIV/0!</v>
      </c>
      <c r="AT140" s="408" t="e">
        <f t="shared" si="34"/>
        <v>#DIV/0!</v>
      </c>
      <c r="AU140" s="409" t="e">
        <f t="shared" si="35"/>
        <v>#DIV/0!</v>
      </c>
    </row>
    <row r="141" spans="1:47" ht="13.8" thickBot="1">
      <c r="L141" s="146" t="s">
        <v>610</v>
      </c>
      <c r="O141" s="412" t="e">
        <f>SUM(O138+O132)</f>
        <v>#VALUE!</v>
      </c>
      <c r="Q141" s="414" t="e">
        <f>SUM(O96/Q140)</f>
        <v>#DIV/0!</v>
      </c>
      <c r="U141" s="159" t="s">
        <v>795</v>
      </c>
      <c r="V141" s="159"/>
      <c r="AD141" s="153">
        <v>28</v>
      </c>
      <c r="AE141" s="286">
        <f t="shared" si="26"/>
        <v>0</v>
      </c>
      <c r="AG141" s="402">
        <f t="shared" si="36"/>
        <v>0</v>
      </c>
      <c r="AH141" s="286">
        <f t="shared" si="27"/>
        <v>0</v>
      </c>
      <c r="AI141" s="386">
        <v>28</v>
      </c>
      <c r="AJ141" s="403" t="e">
        <f t="shared" si="25"/>
        <v>#DIV/0!</v>
      </c>
      <c r="AK141" s="386"/>
      <c r="AL141" s="404" t="e">
        <f t="shared" si="28"/>
        <v>#DIV/0!</v>
      </c>
      <c r="AM141" s="386" t="e">
        <f t="shared" si="29"/>
        <v>#DIV/0!</v>
      </c>
      <c r="AN141" s="386"/>
      <c r="AO141" s="405">
        <f t="shared" si="30"/>
        <v>0</v>
      </c>
      <c r="AP141" s="406" t="e">
        <f t="shared" si="31"/>
        <v>#DIV/0!</v>
      </c>
      <c r="AQ141" s="390" t="e">
        <f t="shared" si="32"/>
        <v>#DIV/0!</v>
      </c>
      <c r="AR141" s="390"/>
      <c r="AS141" s="407" t="e">
        <f t="shared" si="33"/>
        <v>#DIV/0!</v>
      </c>
      <c r="AT141" s="408" t="e">
        <f t="shared" si="34"/>
        <v>#DIV/0!</v>
      </c>
      <c r="AU141" s="409" t="e">
        <f t="shared" si="35"/>
        <v>#DIV/0!</v>
      </c>
    </row>
    <row r="142" spans="1:47" ht="13.8" thickTop="1">
      <c r="U142" s="139" t="e">
        <f>IF(B80&lt;=U139,0,1)</f>
        <v>#VALUE!</v>
      </c>
      <c r="AD142" s="153">
        <v>29</v>
      </c>
      <c r="AE142" s="286">
        <f t="shared" si="26"/>
        <v>0</v>
      </c>
      <c r="AG142" s="402">
        <f t="shared" si="36"/>
        <v>0</v>
      </c>
      <c r="AH142" s="286">
        <f t="shared" si="27"/>
        <v>0</v>
      </c>
      <c r="AI142" s="386">
        <v>29</v>
      </c>
      <c r="AJ142" s="403" t="e">
        <f t="shared" si="25"/>
        <v>#DIV/0!</v>
      </c>
      <c r="AK142" s="386"/>
      <c r="AL142" s="404" t="e">
        <f t="shared" si="28"/>
        <v>#DIV/0!</v>
      </c>
      <c r="AM142" s="386" t="e">
        <f t="shared" si="29"/>
        <v>#DIV/0!</v>
      </c>
      <c r="AN142" s="386"/>
      <c r="AO142" s="405">
        <f t="shared" si="30"/>
        <v>0</v>
      </c>
      <c r="AP142" s="406" t="e">
        <f t="shared" si="31"/>
        <v>#DIV/0!</v>
      </c>
      <c r="AQ142" s="390" t="e">
        <f t="shared" si="32"/>
        <v>#DIV/0!</v>
      </c>
      <c r="AR142" s="390"/>
      <c r="AS142" s="407" t="e">
        <f t="shared" si="33"/>
        <v>#DIV/0!</v>
      </c>
      <c r="AT142" s="408" t="e">
        <f t="shared" si="34"/>
        <v>#DIV/0!</v>
      </c>
      <c r="AU142" s="409" t="e">
        <f t="shared" si="35"/>
        <v>#DIV/0!</v>
      </c>
    </row>
    <row r="143" spans="1:47">
      <c r="A143" s="41"/>
      <c r="L143" s="146" t="s">
        <v>523</v>
      </c>
      <c r="O143" s="148" t="e">
        <f>FLOOR(O141,1000)</f>
        <v>#VALUE!</v>
      </c>
      <c r="P143" s="104" t="s">
        <v>565</v>
      </c>
      <c r="AD143" s="153">
        <v>30</v>
      </c>
      <c r="AE143" s="286">
        <f t="shared" si="26"/>
        <v>0</v>
      </c>
      <c r="AG143" s="402">
        <f t="shared" si="36"/>
        <v>0</v>
      </c>
      <c r="AH143" s="286">
        <f t="shared" si="27"/>
        <v>0</v>
      </c>
      <c r="AI143" s="386">
        <v>30</v>
      </c>
      <c r="AJ143" s="403" t="e">
        <f t="shared" si="25"/>
        <v>#DIV/0!</v>
      </c>
      <c r="AK143" s="386"/>
      <c r="AL143" s="404" t="e">
        <f t="shared" si="28"/>
        <v>#DIV/0!</v>
      </c>
      <c r="AM143" s="386" t="e">
        <f t="shared" si="29"/>
        <v>#DIV/0!</v>
      </c>
      <c r="AN143" s="386"/>
      <c r="AO143" s="405">
        <f t="shared" si="30"/>
        <v>0</v>
      </c>
      <c r="AP143" s="406" t="e">
        <f t="shared" si="31"/>
        <v>#DIV/0!</v>
      </c>
      <c r="AQ143" s="390" t="e">
        <f t="shared" si="32"/>
        <v>#DIV/0!</v>
      </c>
      <c r="AR143" s="390"/>
      <c r="AS143" s="407" t="e">
        <f t="shared" si="33"/>
        <v>#DIV/0!</v>
      </c>
      <c r="AT143" s="408" t="e">
        <f t="shared" si="34"/>
        <v>#DIV/0!</v>
      </c>
      <c r="AU143" s="409" t="e">
        <f t="shared" si="35"/>
        <v>#DIV/0!</v>
      </c>
    </row>
    <row r="144" spans="1:47">
      <c r="A144" s="41"/>
      <c r="D144" s="426"/>
      <c r="Q144" s="127"/>
      <c r="R144" s="119" t="s">
        <v>659</v>
      </c>
      <c r="S144" s="127"/>
      <c r="AD144" s="153">
        <v>31</v>
      </c>
      <c r="AE144" s="286">
        <f t="shared" si="26"/>
        <v>0</v>
      </c>
      <c r="AG144" s="402">
        <f t="shared" si="36"/>
        <v>0</v>
      </c>
      <c r="AH144" s="286">
        <f t="shared" si="27"/>
        <v>0</v>
      </c>
      <c r="AI144" s="386">
        <v>31</v>
      </c>
      <c r="AJ144" s="403" t="e">
        <f t="shared" si="25"/>
        <v>#DIV/0!</v>
      </c>
      <c r="AK144" s="386"/>
      <c r="AL144" s="404" t="e">
        <f t="shared" si="28"/>
        <v>#DIV/0!</v>
      </c>
      <c r="AM144" s="386" t="e">
        <f t="shared" si="29"/>
        <v>#DIV/0!</v>
      </c>
      <c r="AN144" s="386"/>
      <c r="AO144" s="405">
        <f t="shared" si="30"/>
        <v>0</v>
      </c>
      <c r="AP144" s="406" t="e">
        <f t="shared" si="31"/>
        <v>#DIV/0!</v>
      </c>
      <c r="AQ144" s="390" t="e">
        <f t="shared" si="32"/>
        <v>#DIV/0!</v>
      </c>
      <c r="AR144" s="390"/>
      <c r="AS144" s="407" t="e">
        <f t="shared" si="33"/>
        <v>#DIV/0!</v>
      </c>
      <c r="AT144" s="408" t="e">
        <f t="shared" si="34"/>
        <v>#DIV/0!</v>
      </c>
      <c r="AU144" s="409" t="e">
        <f t="shared" si="35"/>
        <v>#DIV/0!</v>
      </c>
    </row>
    <row r="145" spans="1:70">
      <c r="A145" s="41"/>
      <c r="G145" s="37"/>
      <c r="H145" s="37"/>
      <c r="Q145" s="422" t="s">
        <v>199</v>
      </c>
      <c r="R145" s="422" t="s">
        <v>658</v>
      </c>
      <c r="S145" s="422" t="s">
        <v>660</v>
      </c>
      <c r="AD145" s="153">
        <v>32</v>
      </c>
      <c r="AE145" s="286">
        <f t="shared" si="26"/>
        <v>0</v>
      </c>
      <c r="AG145" s="402">
        <f t="shared" si="36"/>
        <v>0</v>
      </c>
      <c r="AH145" s="286">
        <f t="shared" si="27"/>
        <v>0</v>
      </c>
      <c r="AI145" s="386">
        <v>32</v>
      </c>
      <c r="AJ145" s="403" t="e">
        <f t="shared" si="25"/>
        <v>#DIV/0!</v>
      </c>
      <c r="AK145" s="386"/>
      <c r="AL145" s="404" t="e">
        <f t="shared" si="28"/>
        <v>#DIV/0!</v>
      </c>
      <c r="AM145" s="386" t="e">
        <f t="shared" si="29"/>
        <v>#DIV/0!</v>
      </c>
      <c r="AN145" s="386"/>
      <c r="AO145" s="405">
        <f t="shared" si="30"/>
        <v>0</v>
      </c>
      <c r="AP145" s="406" t="e">
        <f t="shared" si="31"/>
        <v>#DIV/0!</v>
      </c>
      <c r="AQ145" s="390" t="e">
        <f t="shared" si="32"/>
        <v>#DIV/0!</v>
      </c>
      <c r="AR145" s="390"/>
      <c r="AS145" s="407" t="e">
        <f t="shared" si="33"/>
        <v>#DIV/0!</v>
      </c>
      <c r="AT145" s="408" t="e">
        <f t="shared" si="34"/>
        <v>#DIV/0!</v>
      </c>
      <c r="AU145" s="409" t="e">
        <f t="shared" si="35"/>
        <v>#DIV/0!</v>
      </c>
    </row>
    <row r="146" spans="1:70">
      <c r="A146" s="41"/>
      <c r="G146" s="37"/>
      <c r="H146" s="37"/>
      <c r="L146" s="560" t="s">
        <v>822</v>
      </c>
      <c r="Q146" s="423" t="str">
        <f>R139</f>
        <v>Capital Repayment</v>
      </c>
      <c r="R146" s="424" t="e">
        <f>IF(R139="Capital Repayment",R99,IF(R139="Part &amp; Part",U99,IF(R139="Interest-only",O99)))</f>
        <v>#DIV/0!</v>
      </c>
      <c r="S146" s="425" t="e">
        <f>IF(R146&gt;110%,T84,IF(R146&lt;100%,T85,IF(R146&gt;=100%,T86,IF(R146&lt;=110%,T86))))</f>
        <v>#DIV/0!</v>
      </c>
      <c r="AD146" s="153">
        <v>33</v>
      </c>
      <c r="AE146" s="286">
        <f t="shared" si="26"/>
        <v>0</v>
      </c>
      <c r="AG146" s="402">
        <f t="shared" si="36"/>
        <v>0</v>
      </c>
      <c r="AH146" s="286">
        <f t="shared" si="27"/>
        <v>0</v>
      </c>
      <c r="AI146" s="386">
        <v>33</v>
      </c>
      <c r="AJ146" s="403" t="e">
        <f t="shared" si="25"/>
        <v>#DIV/0!</v>
      </c>
      <c r="AK146" s="386"/>
      <c r="AL146" s="404" t="e">
        <f t="shared" si="28"/>
        <v>#DIV/0!</v>
      </c>
      <c r="AM146" s="386" t="e">
        <f t="shared" si="29"/>
        <v>#DIV/0!</v>
      </c>
      <c r="AN146" s="386"/>
      <c r="AO146" s="405">
        <f t="shared" si="30"/>
        <v>0</v>
      </c>
      <c r="AP146" s="406" t="e">
        <f t="shared" si="31"/>
        <v>#DIV/0!</v>
      </c>
      <c r="AQ146" s="390" t="e">
        <f t="shared" si="32"/>
        <v>#DIV/0!</v>
      </c>
      <c r="AR146" s="390"/>
      <c r="AS146" s="407" t="e">
        <f t="shared" si="33"/>
        <v>#DIV/0!</v>
      </c>
      <c r="AT146" s="408" t="e">
        <f t="shared" si="34"/>
        <v>#DIV/0!</v>
      </c>
      <c r="AU146" s="409" t="e">
        <f t="shared" si="35"/>
        <v>#DIV/0!</v>
      </c>
    </row>
    <row r="147" spans="1:70">
      <c r="C147" s="427"/>
      <c r="G147" s="43"/>
      <c r="H147" s="37"/>
      <c r="AD147" s="153">
        <v>34</v>
      </c>
      <c r="AE147" s="286">
        <f t="shared" si="26"/>
        <v>0</v>
      </c>
      <c r="AG147" s="402">
        <f t="shared" si="36"/>
        <v>0</v>
      </c>
      <c r="AH147" s="286">
        <f t="shared" si="27"/>
        <v>0</v>
      </c>
      <c r="AI147" s="386">
        <v>34</v>
      </c>
      <c r="AJ147" s="403" t="e">
        <f t="shared" si="25"/>
        <v>#DIV/0!</v>
      </c>
      <c r="AK147" s="386"/>
      <c r="AL147" s="404" t="e">
        <f t="shared" si="28"/>
        <v>#DIV/0!</v>
      </c>
      <c r="AM147" s="386" t="e">
        <f t="shared" si="29"/>
        <v>#DIV/0!</v>
      </c>
      <c r="AN147" s="386"/>
      <c r="AO147" s="405">
        <f t="shared" si="30"/>
        <v>0</v>
      </c>
      <c r="AP147" s="406" t="e">
        <f t="shared" si="31"/>
        <v>#DIV/0!</v>
      </c>
      <c r="AQ147" s="390" t="e">
        <f t="shared" ref="AQ147:AQ153" si="37">IF(AP147&lt;4.5,AR146+1,0)</f>
        <v>#DIV/0!</v>
      </c>
      <c r="AR147" s="390"/>
      <c r="AS147" s="428" t="e">
        <f t="shared" si="33"/>
        <v>#DIV/0!</v>
      </c>
      <c r="AT147" s="408" t="e">
        <f t="shared" si="34"/>
        <v>#DIV/0!</v>
      </c>
      <c r="AU147" s="409" t="e">
        <f t="shared" si="35"/>
        <v>#DIV/0!</v>
      </c>
    </row>
    <row r="148" spans="1:70">
      <c r="I148" s="429"/>
      <c r="AD148" s="153">
        <v>35</v>
      </c>
      <c r="AE148" s="286">
        <f t="shared" ref="AE148:AE153" si="38">FV($AH$109,1,0,(-AE147),0)</f>
        <v>0</v>
      </c>
      <c r="AG148" s="402">
        <f t="shared" si="36"/>
        <v>0</v>
      </c>
      <c r="AH148" s="286">
        <f t="shared" si="27"/>
        <v>0</v>
      </c>
      <c r="AI148" s="386">
        <v>35</v>
      </c>
      <c r="AJ148" s="403" t="e">
        <f t="shared" si="25"/>
        <v>#DIV/0!</v>
      </c>
      <c r="AK148" s="386"/>
      <c r="AL148" s="404" t="e">
        <f t="shared" ref="AL148:AL153" si="39">SUM(AJ148/AH148)</f>
        <v>#DIV/0!</v>
      </c>
      <c r="AM148" s="386" t="e">
        <f t="shared" si="29"/>
        <v>#DIV/0!</v>
      </c>
      <c r="AN148" s="386"/>
      <c r="AO148" s="405">
        <f t="shared" si="30"/>
        <v>0</v>
      </c>
      <c r="AP148" s="406" t="e">
        <f t="shared" ref="AP148:AP153" si="40">SUM(AO148/AH148)</f>
        <v>#DIV/0!</v>
      </c>
      <c r="AQ148" s="390" t="e">
        <f t="shared" si="37"/>
        <v>#DIV/0!</v>
      </c>
      <c r="AR148" s="390"/>
      <c r="AS148" s="428" t="e">
        <f t="shared" ref="AS148:AS153" si="41">SUM(AJ148+AO148)</f>
        <v>#DIV/0!</v>
      </c>
      <c r="AT148" s="408" t="e">
        <f t="shared" ref="AT148:AT153" si="42">SUM(AS148/AH148)</f>
        <v>#DIV/0!</v>
      </c>
      <c r="AU148" s="409" t="e">
        <f t="shared" ref="AU148:AU153" si="43">IF(AT148&lt;4.5,AV147+1,0)</f>
        <v>#DIV/0!</v>
      </c>
    </row>
    <row r="149" spans="1:70">
      <c r="I149" s="429"/>
      <c r="AD149" s="153">
        <v>36</v>
      </c>
      <c r="AE149" s="286">
        <f t="shared" si="38"/>
        <v>0</v>
      </c>
      <c r="AG149" s="402">
        <f t="shared" si="36"/>
        <v>0</v>
      </c>
      <c r="AH149" s="286">
        <f t="shared" si="27"/>
        <v>0</v>
      </c>
      <c r="AI149" s="386">
        <v>36</v>
      </c>
      <c r="AJ149" s="403" t="e">
        <f t="shared" si="25"/>
        <v>#DIV/0!</v>
      </c>
      <c r="AK149" s="386"/>
      <c r="AL149" s="404" t="e">
        <f t="shared" si="39"/>
        <v>#DIV/0!</v>
      </c>
      <c r="AM149" s="386" t="e">
        <f t="shared" si="29"/>
        <v>#DIV/0!</v>
      </c>
      <c r="AN149" s="386"/>
      <c r="AO149" s="405">
        <f t="shared" si="30"/>
        <v>0</v>
      </c>
      <c r="AP149" s="406" t="e">
        <f t="shared" si="40"/>
        <v>#DIV/0!</v>
      </c>
      <c r="AQ149" s="390" t="e">
        <f t="shared" si="37"/>
        <v>#DIV/0!</v>
      </c>
      <c r="AR149" s="390"/>
      <c r="AS149" s="428" t="e">
        <f t="shared" si="41"/>
        <v>#DIV/0!</v>
      </c>
      <c r="AT149" s="408" t="e">
        <f t="shared" si="42"/>
        <v>#DIV/0!</v>
      </c>
      <c r="AU149" s="409" t="e">
        <f t="shared" si="43"/>
        <v>#DIV/0!</v>
      </c>
    </row>
    <row r="150" spans="1:70">
      <c r="I150" s="429"/>
      <c r="AD150" s="153">
        <v>37</v>
      </c>
      <c r="AE150" s="286">
        <f t="shared" si="38"/>
        <v>0</v>
      </c>
      <c r="AG150" s="402">
        <f t="shared" si="36"/>
        <v>0</v>
      </c>
      <c r="AH150" s="286">
        <f t="shared" si="27"/>
        <v>0</v>
      </c>
      <c r="AI150" s="386">
        <v>37</v>
      </c>
      <c r="AJ150" s="403" t="e">
        <f t="shared" si="25"/>
        <v>#DIV/0!</v>
      </c>
      <c r="AK150" s="386"/>
      <c r="AL150" s="404" t="e">
        <f t="shared" si="39"/>
        <v>#DIV/0!</v>
      </c>
      <c r="AM150" s="386" t="e">
        <f t="shared" si="29"/>
        <v>#DIV/0!</v>
      </c>
      <c r="AN150" s="386"/>
      <c r="AO150" s="405">
        <f t="shared" si="30"/>
        <v>0</v>
      </c>
      <c r="AP150" s="406" t="e">
        <f t="shared" si="40"/>
        <v>#DIV/0!</v>
      </c>
      <c r="AQ150" s="390" t="e">
        <f t="shared" si="37"/>
        <v>#DIV/0!</v>
      </c>
      <c r="AR150" s="390"/>
      <c r="AS150" s="428" t="e">
        <f t="shared" si="41"/>
        <v>#DIV/0!</v>
      </c>
      <c r="AT150" s="408" t="e">
        <f t="shared" si="42"/>
        <v>#DIV/0!</v>
      </c>
      <c r="AU150" s="409" t="e">
        <f t="shared" si="43"/>
        <v>#DIV/0!</v>
      </c>
    </row>
    <row r="151" spans="1:70">
      <c r="I151" s="429"/>
      <c r="AD151" s="153">
        <v>38</v>
      </c>
      <c r="AE151" s="286">
        <f t="shared" si="38"/>
        <v>0</v>
      </c>
      <c r="AG151" s="402">
        <f t="shared" si="36"/>
        <v>0</v>
      </c>
      <c r="AH151" s="286">
        <f t="shared" si="27"/>
        <v>0</v>
      </c>
      <c r="AI151" s="386">
        <v>38</v>
      </c>
      <c r="AJ151" s="403" t="e">
        <f t="shared" si="25"/>
        <v>#DIV/0!</v>
      </c>
      <c r="AK151" s="386"/>
      <c r="AL151" s="404" t="e">
        <f t="shared" si="39"/>
        <v>#DIV/0!</v>
      </c>
      <c r="AM151" s="386" t="e">
        <f t="shared" si="29"/>
        <v>#DIV/0!</v>
      </c>
      <c r="AN151" s="386"/>
      <c r="AO151" s="405">
        <f t="shared" si="30"/>
        <v>0</v>
      </c>
      <c r="AP151" s="406" t="e">
        <f t="shared" si="40"/>
        <v>#DIV/0!</v>
      </c>
      <c r="AQ151" s="390" t="e">
        <f t="shared" si="37"/>
        <v>#DIV/0!</v>
      </c>
      <c r="AR151" s="390"/>
      <c r="AS151" s="428" t="e">
        <f t="shared" si="41"/>
        <v>#DIV/0!</v>
      </c>
      <c r="AT151" s="408" t="e">
        <f t="shared" si="42"/>
        <v>#DIV/0!</v>
      </c>
      <c r="AU151" s="409" t="e">
        <f t="shared" si="43"/>
        <v>#DIV/0!</v>
      </c>
    </row>
    <row r="152" spans="1:70">
      <c r="I152" s="429"/>
      <c r="AD152" s="153">
        <v>39</v>
      </c>
      <c r="AE152" s="286">
        <f t="shared" si="38"/>
        <v>0</v>
      </c>
      <c r="AG152" s="402">
        <f t="shared" si="36"/>
        <v>0</v>
      </c>
      <c r="AH152" s="286">
        <f t="shared" si="27"/>
        <v>0</v>
      </c>
      <c r="AI152" s="386">
        <v>39</v>
      </c>
      <c r="AJ152" s="403" t="e">
        <f t="shared" si="25"/>
        <v>#DIV/0!</v>
      </c>
      <c r="AK152" s="386"/>
      <c r="AL152" s="404" t="e">
        <f t="shared" si="39"/>
        <v>#DIV/0!</v>
      </c>
      <c r="AM152" s="386" t="e">
        <f t="shared" si="29"/>
        <v>#DIV/0!</v>
      </c>
      <c r="AN152" s="386"/>
      <c r="AO152" s="405">
        <f t="shared" si="30"/>
        <v>0</v>
      </c>
      <c r="AP152" s="406" t="e">
        <f t="shared" si="40"/>
        <v>#DIV/0!</v>
      </c>
      <c r="AQ152" s="390" t="e">
        <f t="shared" si="37"/>
        <v>#DIV/0!</v>
      </c>
      <c r="AR152" s="390"/>
      <c r="AS152" s="428" t="e">
        <f t="shared" si="41"/>
        <v>#DIV/0!</v>
      </c>
      <c r="AT152" s="408" t="e">
        <f t="shared" si="42"/>
        <v>#DIV/0!</v>
      </c>
      <c r="AU152" s="409" t="e">
        <f t="shared" si="43"/>
        <v>#DIV/0!</v>
      </c>
    </row>
    <row r="153" spans="1:70">
      <c r="A153" s="40"/>
      <c r="B153" s="40"/>
      <c r="C153" s="40"/>
      <c r="D153" s="430"/>
      <c r="E153" s="73"/>
      <c r="F153" s="172"/>
      <c r="H153" s="427"/>
      <c r="AD153" s="153">
        <v>40</v>
      </c>
      <c r="AE153" s="286">
        <f t="shared" si="38"/>
        <v>0</v>
      </c>
      <c r="AG153" s="402">
        <f t="shared" si="36"/>
        <v>0</v>
      </c>
      <c r="AH153" s="286">
        <f>SUM(AE153+AG153)</f>
        <v>0</v>
      </c>
      <c r="AI153" s="386">
        <v>40</v>
      </c>
      <c r="AJ153" s="386" t="e">
        <f t="shared" si="25"/>
        <v>#DIV/0!</v>
      </c>
      <c r="AK153" s="386"/>
      <c r="AL153" s="404" t="e">
        <f t="shared" si="39"/>
        <v>#DIV/0!</v>
      </c>
      <c r="AM153" s="386" t="e">
        <f t="shared" si="29"/>
        <v>#DIV/0!</v>
      </c>
      <c r="AN153" s="386"/>
      <c r="AO153" s="405">
        <f t="shared" si="30"/>
        <v>0</v>
      </c>
      <c r="AP153" s="406" t="e">
        <f t="shared" si="40"/>
        <v>#DIV/0!</v>
      </c>
      <c r="AQ153" s="390" t="e">
        <f t="shared" si="37"/>
        <v>#DIV/0!</v>
      </c>
      <c r="AR153" s="390"/>
      <c r="AS153" s="428" t="e">
        <f t="shared" si="41"/>
        <v>#DIV/0!</v>
      </c>
      <c r="AT153" s="408" t="e">
        <f t="shared" si="42"/>
        <v>#DIV/0!</v>
      </c>
      <c r="AU153" s="409" t="e">
        <f t="shared" si="43"/>
        <v>#DIV/0!</v>
      </c>
    </row>
    <row r="154" spans="1:70">
      <c r="F154" s="73"/>
      <c r="H154" s="427"/>
      <c r="AS154" s="159"/>
      <c r="AT154" s="159"/>
    </row>
    <row r="155" spans="1:70">
      <c r="D155" s="37"/>
      <c r="F155" s="37"/>
      <c r="G155" s="37"/>
      <c r="H155" s="37"/>
      <c r="J155" s="417"/>
      <c r="K155" s="417"/>
      <c r="AD155" s="124" t="s">
        <v>654</v>
      </c>
      <c r="AE155" s="104"/>
      <c r="AF155" s="162" t="s">
        <v>602</v>
      </c>
      <c r="AO155" s="162" t="s">
        <v>604</v>
      </c>
      <c r="AS155" s="162" t="s">
        <v>606</v>
      </c>
    </row>
    <row r="156" spans="1:70">
      <c r="A156" s="43"/>
      <c r="D156" s="37"/>
      <c r="F156" s="37"/>
      <c r="G156" s="37"/>
      <c r="H156" s="37"/>
    </row>
    <row r="157" spans="1:70">
      <c r="A157" s="73"/>
      <c r="E157" s="427"/>
      <c r="H157" s="37"/>
      <c r="AD157" s="562" t="str">
        <f>D68</f>
        <v>Capital Repayment</v>
      </c>
      <c r="AF157" s="432" t="e">
        <f>MATCH(1,AM114:AM153,0)</f>
        <v>#N/A</v>
      </c>
      <c r="AG157" s="159" t="s">
        <v>463</v>
      </c>
      <c r="AH157" s="139" t="s">
        <v>824</v>
      </c>
      <c r="AO157" s="432" t="e">
        <f>MATCH(1,AQ114:AQ153,0)</f>
        <v>#N/A</v>
      </c>
      <c r="AP157" s="159" t="s">
        <v>463</v>
      </c>
      <c r="AQ157" s="139" t="s">
        <v>825</v>
      </c>
      <c r="AS157" s="432" t="e">
        <f>MATCH(1,AU114:AU153,0)</f>
        <v>#N/A</v>
      </c>
      <c r="AT157" s="159" t="s">
        <v>463</v>
      </c>
      <c r="AU157" s="139" t="s">
        <v>826</v>
      </c>
    </row>
    <row r="158" spans="1:70">
      <c r="A158" s="41"/>
      <c r="G158" s="37"/>
      <c r="H158" s="37"/>
    </row>
    <row r="159" spans="1:70">
      <c r="F159" s="37"/>
      <c r="G159" s="37"/>
      <c r="H159" s="37"/>
      <c r="AF159" s="433">
        <v>9</v>
      </c>
      <c r="AG159" s="409"/>
      <c r="AH159" s="407">
        <v>40000</v>
      </c>
      <c r="AI159" s="409"/>
      <c r="AJ159" s="407">
        <f ca="1">LOOKUP(AF159,AI122:AI228,AJ122:AJ226)</f>
        <v>0</v>
      </c>
      <c r="AK159" s="409"/>
      <c r="AL159" s="434">
        <f ca="1">SUM(AJ159/AH159)</f>
        <v>0</v>
      </c>
      <c r="AM159" s="409"/>
    </row>
    <row r="160" spans="1:70">
      <c r="F160" s="37"/>
      <c r="AN160" s="139" t="s">
        <v>26</v>
      </c>
      <c r="BI160" s="124" t="s">
        <v>1450</v>
      </c>
      <c r="BJ160" s="104"/>
      <c r="BK160" s="104"/>
      <c r="BL160" s="104"/>
      <c r="BM160" s="104"/>
      <c r="BN160" s="104"/>
      <c r="BO160" s="104"/>
      <c r="BP160" s="104"/>
      <c r="BQ160" s="104"/>
      <c r="BR160" s="104"/>
    </row>
    <row r="161" spans="2:70">
      <c r="F161" s="37"/>
      <c r="AD161" s="435" t="s">
        <v>759</v>
      </c>
      <c r="AE161" s="383"/>
      <c r="AF161" s="383"/>
      <c r="AG161" s="436"/>
      <c r="AH161" s="107"/>
      <c r="AI161" s="436"/>
      <c r="AJ161" s="107"/>
      <c r="AK161" s="390"/>
      <c r="AL161" s="107"/>
      <c r="AM161" s="409"/>
      <c r="AN161" s="437"/>
      <c r="AO161" s="566" t="s">
        <v>630</v>
      </c>
      <c r="AP161" s="566" t="s">
        <v>630</v>
      </c>
      <c r="AQ161" s="409"/>
      <c r="AR161" s="437"/>
      <c r="AS161" s="438"/>
      <c r="AT161" s="386"/>
      <c r="AU161" s="386"/>
      <c r="AV161" s="390"/>
      <c r="AW161" s="390"/>
      <c r="AX161" s="409"/>
      <c r="AY161" s="409"/>
      <c r="AZ161" s="409"/>
      <c r="BB161" s="439"/>
      <c r="BC161" s="439"/>
      <c r="BD161" s="439"/>
      <c r="BE161" s="439"/>
      <c r="BF161" s="439"/>
      <c r="BG161" s="439"/>
      <c r="BH161" s="439"/>
      <c r="BI161" s="104"/>
      <c r="BJ161" s="104"/>
      <c r="BK161" s="104"/>
      <c r="BL161" s="104"/>
      <c r="BM161" s="104"/>
      <c r="BN161" s="104"/>
      <c r="BO161" s="104"/>
      <c r="BP161" s="104"/>
      <c r="BQ161" s="104"/>
      <c r="BR161" s="104"/>
    </row>
    <row r="162" spans="2:70">
      <c r="F162" s="37"/>
      <c r="AD162" s="383"/>
      <c r="AE162" s="383"/>
      <c r="AF162" s="435"/>
      <c r="AG162" s="440" t="s">
        <v>628</v>
      </c>
      <c r="AH162" s="441" t="s">
        <v>628</v>
      </c>
      <c r="AI162" s="440" t="s">
        <v>632</v>
      </c>
      <c r="AJ162" s="441" t="s">
        <v>632</v>
      </c>
      <c r="AK162" s="398" t="s">
        <v>629</v>
      </c>
      <c r="AL162" s="441" t="s">
        <v>629</v>
      </c>
      <c r="AM162" s="401" t="s">
        <v>628</v>
      </c>
      <c r="AN162" s="442" t="s">
        <v>628</v>
      </c>
      <c r="AO162" s="566" t="s">
        <v>850</v>
      </c>
      <c r="AP162" s="566" t="s">
        <v>850</v>
      </c>
      <c r="AQ162" s="401" t="s">
        <v>629</v>
      </c>
      <c r="AR162" s="442" t="s">
        <v>629</v>
      </c>
      <c r="AS162" s="443" t="s">
        <v>633</v>
      </c>
      <c r="AT162" s="396" t="s">
        <v>637</v>
      </c>
      <c r="AU162" s="396" t="s">
        <v>637</v>
      </c>
      <c r="AV162" s="398" t="s">
        <v>172</v>
      </c>
      <c r="AW162" s="398" t="s">
        <v>172</v>
      </c>
      <c r="AX162" s="401"/>
      <c r="AY162" s="401" t="s">
        <v>206</v>
      </c>
      <c r="AZ162" s="401" t="s">
        <v>206</v>
      </c>
      <c r="BB162" s="444" t="s">
        <v>683</v>
      </c>
      <c r="BC162" s="444" t="s">
        <v>679</v>
      </c>
      <c r="BD162" s="444" t="s">
        <v>681</v>
      </c>
      <c r="BE162" s="444" t="s">
        <v>685</v>
      </c>
      <c r="BF162" s="444" t="s">
        <v>458</v>
      </c>
      <c r="BG162" s="444" t="s">
        <v>688</v>
      </c>
      <c r="BH162" s="439"/>
      <c r="BI162" s="104"/>
      <c r="BJ162" s="124" t="s">
        <v>820</v>
      </c>
      <c r="BK162" s="104"/>
      <c r="BL162" s="104"/>
      <c r="BM162" s="566" t="s">
        <v>679</v>
      </c>
      <c r="BN162" s="566" t="s">
        <v>685</v>
      </c>
      <c r="BO162" s="566" t="s">
        <v>458</v>
      </c>
      <c r="BP162" s="566" t="s">
        <v>688</v>
      </c>
      <c r="BQ162" s="566"/>
      <c r="BR162" s="104"/>
    </row>
    <row r="163" spans="2:70">
      <c r="F163" s="37"/>
      <c r="AD163" s="435" t="s">
        <v>688</v>
      </c>
      <c r="AE163" s="383"/>
      <c r="AF163" s="445" t="s">
        <v>642</v>
      </c>
      <c r="AG163" s="440" t="s">
        <v>0</v>
      </c>
      <c r="AH163" s="441" t="s">
        <v>1</v>
      </c>
      <c r="AI163" s="440" t="s">
        <v>0</v>
      </c>
      <c r="AJ163" s="441" t="s">
        <v>1</v>
      </c>
      <c r="AK163" s="398" t="s">
        <v>0</v>
      </c>
      <c r="AL163" s="441" t="s">
        <v>1</v>
      </c>
      <c r="AM163" s="401" t="s">
        <v>677</v>
      </c>
      <c r="AN163" s="442" t="s">
        <v>678</v>
      </c>
      <c r="AO163" s="401" t="s">
        <v>677</v>
      </c>
      <c r="AP163" s="442" t="s">
        <v>678</v>
      </c>
      <c r="AQ163" s="401" t="s">
        <v>677</v>
      </c>
      <c r="AR163" s="442" t="s">
        <v>678</v>
      </c>
      <c r="AS163" s="443" t="s">
        <v>629</v>
      </c>
      <c r="AT163" s="396" t="s">
        <v>634</v>
      </c>
      <c r="AU163" s="396" t="s">
        <v>635</v>
      </c>
      <c r="AV163" s="398" t="s">
        <v>634</v>
      </c>
      <c r="AW163" s="398" t="s">
        <v>635</v>
      </c>
      <c r="AX163" s="401"/>
      <c r="AY163" s="401" t="s">
        <v>634</v>
      </c>
      <c r="AZ163" s="401" t="s">
        <v>635</v>
      </c>
      <c r="BB163" s="444" t="s">
        <v>684</v>
      </c>
      <c r="BC163" s="444" t="s">
        <v>682</v>
      </c>
      <c r="BD163" s="444" t="s">
        <v>682</v>
      </c>
      <c r="BE163" s="444"/>
      <c r="BF163" s="444" t="s">
        <v>686</v>
      </c>
      <c r="BG163" s="444" t="s">
        <v>658</v>
      </c>
      <c r="BH163" s="439"/>
      <c r="BI163" s="124" t="s">
        <v>633</v>
      </c>
      <c r="BJ163" s="124"/>
      <c r="BK163" s="124"/>
      <c r="BL163" s="124" t="s">
        <v>828</v>
      </c>
      <c r="BM163" s="566" t="s">
        <v>682</v>
      </c>
      <c r="BN163" s="104"/>
      <c r="BO163" s="566" t="s">
        <v>686</v>
      </c>
      <c r="BP163" s="566" t="s">
        <v>658</v>
      </c>
      <c r="BQ163" s="566"/>
      <c r="BR163" s="104"/>
    </row>
    <row r="164" spans="2:70">
      <c r="AD164" s="383"/>
      <c r="AE164" s="383"/>
      <c r="AF164" s="383"/>
      <c r="AG164" s="436"/>
      <c r="AH164" s="107"/>
      <c r="AI164" s="436"/>
      <c r="AJ164" s="107"/>
      <c r="AK164" s="390"/>
      <c r="AL164" s="107"/>
      <c r="AM164" s="409"/>
      <c r="AN164" s="437"/>
      <c r="AO164" s="409"/>
      <c r="AP164" s="437"/>
      <c r="AQ164" s="409"/>
      <c r="AR164" s="437"/>
      <c r="AS164" s="438"/>
      <c r="AT164" s="396" t="s">
        <v>10</v>
      </c>
      <c r="AU164" s="396" t="s">
        <v>605</v>
      </c>
      <c r="AV164" s="398" t="s">
        <v>10</v>
      </c>
      <c r="AW164" s="398" t="s">
        <v>605</v>
      </c>
      <c r="AX164" s="401"/>
      <c r="AY164" s="401" t="s">
        <v>10</v>
      </c>
      <c r="AZ164" s="401" t="s">
        <v>605</v>
      </c>
      <c r="BB164" s="439"/>
      <c r="BC164" s="444" t="s">
        <v>680</v>
      </c>
      <c r="BD164" s="444" t="s">
        <v>680</v>
      </c>
      <c r="BE164" s="444"/>
      <c r="BF164" s="444" t="s">
        <v>687</v>
      </c>
      <c r="BG164" s="444"/>
      <c r="BH164" s="439"/>
      <c r="BI164" s="124" t="s">
        <v>830</v>
      </c>
      <c r="BJ164" s="124" t="s">
        <v>819</v>
      </c>
      <c r="BK164" s="124" t="s">
        <v>491</v>
      </c>
      <c r="BL164" s="124" t="s">
        <v>829</v>
      </c>
      <c r="BM164" s="566" t="s">
        <v>680</v>
      </c>
      <c r="BN164" s="104"/>
      <c r="BO164" s="566" t="s">
        <v>687</v>
      </c>
      <c r="BP164" s="566"/>
      <c r="BQ164" s="566"/>
      <c r="BR164" s="104"/>
    </row>
    <row r="165" spans="2:70">
      <c r="AD165" s="383" t="s">
        <v>757</v>
      </c>
      <c r="AE165" s="383"/>
      <c r="AF165" s="383">
        <f>IF(AI201=0,AG196,IF(AI201&gt;=$AG$196,AG196,AI201))</f>
        <v>0</v>
      </c>
      <c r="AG165" s="446">
        <f>$AG$190</f>
        <v>0</v>
      </c>
      <c r="AH165" s="447">
        <f>$AG$191</f>
        <v>0</v>
      </c>
      <c r="AI165" s="446" t="e">
        <f>LOOKUP(AF165,AD114:AD153,AE114:AE153)</f>
        <v>#N/A</v>
      </c>
      <c r="AJ165" s="447" t="e">
        <f>LOOKUP(AF165,AD114:AD153,AG114:AG153)</f>
        <v>#N/A</v>
      </c>
      <c r="AK165" s="405" t="e">
        <f>IF($AL$201=1,AI165,IF($AI$201&lt;=AF165,AG165,AI165))</f>
        <v>#N/A</v>
      </c>
      <c r="AL165" s="447" t="e">
        <f>IF($AL$202=1,AJ165,IF($AI$202&lt;=AF165,AH165,AJ165))</f>
        <v>#N/A</v>
      </c>
      <c r="AM165" s="407">
        <f>$AG$192</f>
        <v>0</v>
      </c>
      <c r="AN165" s="448">
        <f>$AG$193</f>
        <v>0</v>
      </c>
      <c r="AO165" s="407">
        <f>$AK$192</f>
        <v>0</v>
      </c>
      <c r="AP165" s="448">
        <f>$AK$193</f>
        <v>0</v>
      </c>
      <c r="AQ165" s="407">
        <f>IF($AJ$203&lt;=AF165,0,IF($AL$203=1,AO165,IF($AI$203&lt;=AF165,AM165,AO165)))</f>
        <v>0</v>
      </c>
      <c r="AR165" s="448">
        <f>IF($AJ$204&lt;=AF165,0,IF($AL$204=1,AP165,IF($AI$204&lt;=AF165,AN165,AP165)))</f>
        <v>0</v>
      </c>
      <c r="AS165" s="449" t="e">
        <f>SUM(AK165:AL165,AQ165:AR165)</f>
        <v>#N/A</v>
      </c>
      <c r="AT165" s="450" t="e">
        <f>LOOKUP(AF165,AI114:AI153,AJ114:AJ153)</f>
        <v>#N/A</v>
      </c>
      <c r="AU165" s="404" t="e">
        <f>SUM(AT165/AS165)</f>
        <v>#N/A</v>
      </c>
      <c r="AV165" s="405" t="e">
        <f>LOOKUP(AF165,AI114:AI153,AO114:AO153)</f>
        <v>#N/A</v>
      </c>
      <c r="AW165" s="406" t="e">
        <f>SUM(AV165/AS165)</f>
        <v>#N/A</v>
      </c>
      <c r="AX165" s="451"/>
      <c r="AY165" s="428" t="e">
        <f>LOOKUP(AF165,AI114:AI148,AS114:AS148)</f>
        <v>#N/A</v>
      </c>
      <c r="AZ165" s="451" t="e">
        <f>SUM(AY165/AS165)</f>
        <v>#N/A</v>
      </c>
      <c r="BB165" s="452" t="e">
        <f>AS165/12</f>
        <v>#N/A</v>
      </c>
      <c r="BC165" s="452">
        <f>SUM($L$61/12)</f>
        <v>1267.1546333333331</v>
      </c>
      <c r="BD165" s="452">
        <f>IF(AQ165+AR165=0,0,('Support borrower Affordability'!$K$63/12))</f>
        <v>0</v>
      </c>
      <c r="BE165" s="452" t="e">
        <f>SUM(BB165-BC165-BD165)</f>
        <v>#N/A</v>
      </c>
      <c r="BF165" s="452">
        <f>IF(AF165=$AG$196,0,$Z$80)</f>
        <v>0</v>
      </c>
      <c r="BG165" s="453">
        <f>IF(BF165=0,0,BE165/BF165)</f>
        <v>0</v>
      </c>
      <c r="BH165" s="439" t="str">
        <f>IF(BG165=0,"Not applicable",IF(BG165&gt;=110%,"PASS",IF(BG165&lt;110%,"FAIL")))</f>
        <v>Not applicable</v>
      </c>
      <c r="BI165" s="105" t="e">
        <f>SUM(AK165+AL165)</f>
        <v>#N/A</v>
      </c>
      <c r="BJ165" s="105" t="e">
        <f>SUM(AT165+$AQ$98)</f>
        <v>#N/A</v>
      </c>
      <c r="BK165" s="550" t="e">
        <f>SUM(BJ165/BI165)</f>
        <v>#N/A</v>
      </c>
      <c r="BL165" s="105" t="e">
        <f>SUM(BI165/12)</f>
        <v>#N/A</v>
      </c>
      <c r="BM165" s="105">
        <f>SUM($L$61/12)</f>
        <v>1267.1546333333331</v>
      </c>
      <c r="BN165" s="105" t="e">
        <f>SUM(BL165-BM165)</f>
        <v>#N/A</v>
      </c>
      <c r="BO165" s="105">
        <f>IF(AN165=$AG$196,0,$Z$80)</f>
        <v>0</v>
      </c>
      <c r="BP165" s="567">
        <f>IF(BO165=0,0,BN165/BO165)</f>
        <v>0</v>
      </c>
      <c r="BQ165" s="104" t="str">
        <f>IF(BP165=0,"Not applicable",IF(BP165&gt;=110%,"PASS",IF(BP165&lt;110%,"FAIL")))</f>
        <v>Not applicable</v>
      </c>
      <c r="BR165" s="104"/>
    </row>
    <row r="166" spans="2:70">
      <c r="AD166" s="383" t="s">
        <v>758</v>
      </c>
      <c r="AE166" s="383"/>
      <c r="AF166" s="383">
        <f>IF(AI202=0,AG196,IF(AI202&gt;=$AG$196,AG196,AI202))</f>
        <v>0</v>
      </c>
      <c r="AG166" s="446">
        <f>$AG$190</f>
        <v>0</v>
      </c>
      <c r="AH166" s="447">
        <f>$AG$191</f>
        <v>0</v>
      </c>
      <c r="AI166" s="446" t="e">
        <f>LOOKUP(AF166,AD114:AD153,AE114:AE153)</f>
        <v>#N/A</v>
      </c>
      <c r="AJ166" s="447" t="e">
        <f>LOOKUP(AF166,AD114:AD153,AG114:AG153)</f>
        <v>#N/A</v>
      </c>
      <c r="AK166" s="405" t="e">
        <f>IF($AL$201=1,AI166,IF($AI$201&lt;=AF166,AG166,AI166))</f>
        <v>#N/A</v>
      </c>
      <c r="AL166" s="447" t="e">
        <f>IF($AL$202=1,AJ166,IF($AI$202&lt;=AF166,AH166,AJ166))</f>
        <v>#N/A</v>
      </c>
      <c r="AM166" s="407">
        <f>$AG$192</f>
        <v>0</v>
      </c>
      <c r="AN166" s="448">
        <f>$AG$193</f>
        <v>0</v>
      </c>
      <c r="AO166" s="407">
        <f>$AK$192</f>
        <v>0</v>
      </c>
      <c r="AP166" s="448">
        <f>$AK$193</f>
        <v>0</v>
      </c>
      <c r="AQ166" s="407">
        <f>IF($AJ$203&lt;=AF166,0,IF($AL$203=1,AO166,IF($AI$203&lt;=AF166,AM166,AO166)))</f>
        <v>0</v>
      </c>
      <c r="AR166" s="448">
        <f>IF($AJ$204&lt;=AF166,0,IF($AL$204=1,AP166,IF($AI$204&lt;=AF166,AN166,AP166)))</f>
        <v>0</v>
      </c>
      <c r="AS166" s="449" t="e">
        <f>SUM(AK166:AL166,AQ166:AR166)</f>
        <v>#N/A</v>
      </c>
      <c r="AT166" s="450" t="e">
        <f>LOOKUP(AF166,AI114:AI153,AJ114:AJ153)</f>
        <v>#N/A</v>
      </c>
      <c r="AU166" s="404" t="e">
        <f>SUM(AT166/AS166)</f>
        <v>#N/A</v>
      </c>
      <c r="AV166" s="405" t="e">
        <f>LOOKUP(AF166,AI114:AI153,AO114:AO153)</f>
        <v>#N/A</v>
      </c>
      <c r="AW166" s="406" t="e">
        <f>SUM(AV166/AS166)</f>
        <v>#N/A</v>
      </c>
      <c r="AX166" s="451"/>
      <c r="AY166" s="428" t="e">
        <f>LOOKUP(AF166,AI114:AI148,AS114:AS148)</f>
        <v>#N/A</v>
      </c>
      <c r="AZ166" s="451" t="e">
        <f>SUM(AY166/AS166)</f>
        <v>#N/A</v>
      </c>
      <c r="BB166" s="452" t="e">
        <f>AS166/12</f>
        <v>#N/A</v>
      </c>
      <c r="BC166" s="452">
        <f>SUM($L$61/12)</f>
        <v>1267.1546333333331</v>
      </c>
      <c r="BD166" s="452">
        <f>IF(AQ166+AR166=0,0,('Support borrower Affordability'!$K$63/12))</f>
        <v>0</v>
      </c>
      <c r="BE166" s="452" t="e">
        <f>SUM(BB166-BC166-BD166)</f>
        <v>#N/A</v>
      </c>
      <c r="BF166" s="452">
        <f>IF(AF166=$AG$196,0,$Z$80)</f>
        <v>0</v>
      </c>
      <c r="BG166" s="453">
        <f>IF(BF166=0,0,BE166/BF166)</f>
        <v>0</v>
      </c>
      <c r="BH166" s="439" t="str">
        <f>IF(BG166=0,"Not applicable",IF(BG166&gt;=110%,"PASS",IF(BG166&lt;110%,"FAIL")))</f>
        <v>Not applicable</v>
      </c>
      <c r="BI166" s="105" t="e">
        <f>SUM(AK166+AL166)</f>
        <v>#N/A</v>
      </c>
      <c r="BJ166" s="105" t="e">
        <f>SUM(AT166+$AQ$98)</f>
        <v>#N/A</v>
      </c>
      <c r="BK166" s="550" t="e">
        <f>SUM(BJ166/BI166)</f>
        <v>#N/A</v>
      </c>
      <c r="BL166" s="105" t="e">
        <f t="shared" ref="BL166:BL168" si="44">SUM(BI166/12)</f>
        <v>#N/A</v>
      </c>
      <c r="BM166" s="105">
        <f t="shared" ref="BM166:BM168" si="45">SUM($L$61/12)</f>
        <v>1267.1546333333331</v>
      </c>
      <c r="BN166" s="105" t="e">
        <f t="shared" ref="BN166:BN168" si="46">SUM(BL166-BM166)</f>
        <v>#N/A</v>
      </c>
      <c r="BO166" s="105">
        <f>IF(AN166=$AG$196,0,$Z$80)</f>
        <v>0</v>
      </c>
      <c r="BP166" s="567">
        <f t="shared" ref="BP166:BP168" si="47">IF(BO166=0,0,BN166/BO166)</f>
        <v>0</v>
      </c>
      <c r="BQ166" s="104" t="str">
        <f>IF(BP166=0,"Not applicable",IF(BP166&gt;=110%,"PASS",IF(BP166&lt;110%,"FAIL")))</f>
        <v>Not applicable</v>
      </c>
      <c r="BR166" s="104"/>
    </row>
    <row r="167" spans="2:70">
      <c r="AD167" s="383" t="s">
        <v>720</v>
      </c>
      <c r="AE167" s="383"/>
      <c r="AF167" s="383">
        <f>IF(AI203=0,AG196,IF(AI203&gt;=$AG$196,AG196,AI203))</f>
        <v>0</v>
      </c>
      <c r="AG167" s="446">
        <f>$AG$190</f>
        <v>0</v>
      </c>
      <c r="AH167" s="447">
        <f>$AG$191</f>
        <v>0</v>
      </c>
      <c r="AI167" s="446" t="e">
        <f>LOOKUP(AF167,AD114:AD153,AE114:AE153)</f>
        <v>#N/A</v>
      </c>
      <c r="AJ167" s="447" t="e">
        <f>LOOKUP(AF167,AD114:AD153,AG114:AG153)</f>
        <v>#N/A</v>
      </c>
      <c r="AK167" s="405" t="e">
        <f>IF($AL$201=1,AI167,IF($AI$201&lt;=AF167,AG167,AI167))</f>
        <v>#N/A</v>
      </c>
      <c r="AL167" s="447" t="e">
        <f>IF($AL$202=1,AJ167,IF($AI$202&lt;=AF167,AH167,AJ167))</f>
        <v>#N/A</v>
      </c>
      <c r="AM167" s="407">
        <f>$AG$192</f>
        <v>0</v>
      </c>
      <c r="AN167" s="448">
        <f>$AG$193</f>
        <v>0</v>
      </c>
      <c r="AO167" s="407">
        <f>$AK$192</f>
        <v>0</v>
      </c>
      <c r="AP167" s="448">
        <f>$AK$193</f>
        <v>0</v>
      </c>
      <c r="AQ167" s="407">
        <f>IF($AJ$203&lt;=AF167,0,IF($AL$203=1,AO167,IF($AI$203&lt;=AF167,AM167,AO167)))</f>
        <v>0</v>
      </c>
      <c r="AR167" s="448">
        <f>IF($AJ$204&lt;=AF167,0,IF($AL$204=1,AP167,IF($AI$204&lt;=AF167,AN167,AP167)))</f>
        <v>0</v>
      </c>
      <c r="AS167" s="449" t="e">
        <f>SUM(AK167:AL167,AQ167:AR167)</f>
        <v>#N/A</v>
      </c>
      <c r="AT167" s="450" t="e">
        <f>LOOKUP(AF167,AI114:AI153,AJ114:AJ153)</f>
        <v>#N/A</v>
      </c>
      <c r="AU167" s="404" t="e">
        <f>SUM(AT167/AS167)</f>
        <v>#N/A</v>
      </c>
      <c r="AV167" s="405" t="e">
        <f>LOOKUP(AF167,AI114:AI153,AO114:AO153)</f>
        <v>#N/A</v>
      </c>
      <c r="AW167" s="406" t="e">
        <f>SUM(AV167/AS167)</f>
        <v>#N/A</v>
      </c>
      <c r="AX167" s="451"/>
      <c r="AY167" s="428" t="e">
        <f>LOOKUP(AF167,AI114:AI148,AS114:AS148)</f>
        <v>#N/A</v>
      </c>
      <c r="AZ167" s="451" t="e">
        <f>SUM(AY167/AS167)</f>
        <v>#N/A</v>
      </c>
      <c r="BB167" s="452" t="e">
        <f>AS167/12</f>
        <v>#N/A</v>
      </c>
      <c r="BC167" s="452">
        <f>SUM($L$61/12)</f>
        <v>1267.1546333333331</v>
      </c>
      <c r="BD167" s="452">
        <f>IF(AQ167+AR167=0,0,('Support borrower Affordability'!$K$63/12))</f>
        <v>0</v>
      </c>
      <c r="BE167" s="452" t="e">
        <f>SUM(BB167-BC167-BD167)</f>
        <v>#N/A</v>
      </c>
      <c r="BF167" s="452">
        <f>IF(AF167=$AG$196,0,$Z$80)</f>
        <v>0</v>
      </c>
      <c r="BG167" s="453">
        <f>IF(BF167=0,0,BE167/BF167)</f>
        <v>0</v>
      </c>
      <c r="BH167" s="439" t="str">
        <f>IF(BG167=0,"Not applicable",IF(BG167&gt;=110%,"PASS",IF(BG167&lt;110%,"FAIL")))</f>
        <v>Not applicable</v>
      </c>
      <c r="BI167" s="105" t="e">
        <f>SUM(AK167+AL167)</f>
        <v>#N/A</v>
      </c>
      <c r="BJ167" s="105" t="e">
        <f t="shared" ref="BJ167:BJ168" si="48">SUM(AT167+$AQ$98)</f>
        <v>#N/A</v>
      </c>
      <c r="BK167" s="550" t="e">
        <f t="shared" ref="BK167:BK168" si="49">SUM(BJ167/BI167)</f>
        <v>#N/A</v>
      </c>
      <c r="BL167" s="105" t="e">
        <f>SUM(BI167/12)</f>
        <v>#N/A</v>
      </c>
      <c r="BM167" s="105">
        <f>SUM($L$61/12)</f>
        <v>1267.1546333333331</v>
      </c>
      <c r="BN167" s="105" t="e">
        <f t="shared" si="46"/>
        <v>#N/A</v>
      </c>
      <c r="BO167" s="105">
        <f>IF(AN167=$AG$196,0,$Z$80)</f>
        <v>0</v>
      </c>
      <c r="BP167" s="567">
        <f t="shared" si="47"/>
        <v>0</v>
      </c>
      <c r="BQ167" s="104" t="str">
        <f>IF(BP167=0,"Not applicable",IF(BP167&gt;=110%,"PASS",IF(BP167&lt;110%,"FAIL")))</f>
        <v>Not applicable</v>
      </c>
      <c r="BR167" s="104"/>
    </row>
    <row r="168" spans="2:70">
      <c r="B168" s="40"/>
      <c r="E168" s="427"/>
      <c r="H168" s="73"/>
      <c r="I168" s="454"/>
      <c r="AD168" s="383" t="s">
        <v>721</v>
      </c>
      <c r="AE168" s="383"/>
      <c r="AF168" s="383">
        <f>IF(AI204=0,AG196,IF(AI204&gt;=$AG$196,AG196,AI204))</f>
        <v>0</v>
      </c>
      <c r="AG168" s="446">
        <f>$AG$190</f>
        <v>0</v>
      </c>
      <c r="AH168" s="447">
        <f>$AG$191</f>
        <v>0</v>
      </c>
      <c r="AI168" s="446" t="e">
        <f>LOOKUP(AF168,AD114:AD153,AE114:AE153)</f>
        <v>#N/A</v>
      </c>
      <c r="AJ168" s="447" t="e">
        <f>LOOKUP(AF168,AD114:AD153,AG114:AG153)</f>
        <v>#N/A</v>
      </c>
      <c r="AK168" s="405" t="e">
        <f>IF($AL$201=1,AI168,IF($AI$201&lt;=AF168,AG168,AI168))</f>
        <v>#N/A</v>
      </c>
      <c r="AL168" s="447" t="e">
        <f>IF($AL$202=1,AJ168,IF($AI$202&lt;=AF168,AH168,AJ168))</f>
        <v>#N/A</v>
      </c>
      <c r="AM168" s="407">
        <f>$AG$192</f>
        <v>0</v>
      </c>
      <c r="AN168" s="448">
        <f>$AG$193</f>
        <v>0</v>
      </c>
      <c r="AO168" s="407">
        <f>$AK$192</f>
        <v>0</v>
      </c>
      <c r="AP168" s="448">
        <f>$AK$193</f>
        <v>0</v>
      </c>
      <c r="AQ168" s="407">
        <f>IF($AJ$203&lt;=AF168,0,IF($AL$203=1,AO168,IF($AI$203&lt;=AF168,AM168,AO168)))</f>
        <v>0</v>
      </c>
      <c r="AR168" s="448">
        <f>IF($AJ$204&lt;=AF168,0,IF($AL$204=1,AP168,IF($AI$204&lt;=AF168,AN168,AP168)))</f>
        <v>0</v>
      </c>
      <c r="AS168" s="449" t="e">
        <f>SUM(AK168:AL168,AQ168:AR168)</f>
        <v>#N/A</v>
      </c>
      <c r="AT168" s="450" t="e">
        <f>LOOKUP(AF168,AI114:AI153,AJ114:AJ153)</f>
        <v>#N/A</v>
      </c>
      <c r="AU168" s="404" t="e">
        <f>SUM(AT168/AS168)</f>
        <v>#N/A</v>
      </c>
      <c r="AV168" s="405" t="e">
        <f>LOOKUP(AF168,AI114:AI153,AO114:AO153)</f>
        <v>#N/A</v>
      </c>
      <c r="AW168" s="406" t="e">
        <f>SUM(AV168/AS168)</f>
        <v>#N/A</v>
      </c>
      <c r="AX168" s="451"/>
      <c r="AY168" s="428" t="e">
        <f>LOOKUP(AF168,AI114:AI148,AS114:AS148)</f>
        <v>#N/A</v>
      </c>
      <c r="AZ168" s="451" t="e">
        <f>SUM(AY168/AS168)</f>
        <v>#N/A</v>
      </c>
      <c r="BB168" s="452" t="e">
        <f>AS168/12</f>
        <v>#N/A</v>
      </c>
      <c r="BC168" s="452">
        <f>SUM($L$61/12)</f>
        <v>1267.1546333333331</v>
      </c>
      <c r="BD168" s="452">
        <f>IF(AQ168+AR168=0,0,('Support borrower Affordability'!$K$63/12))</f>
        <v>0</v>
      </c>
      <c r="BE168" s="452" t="e">
        <f>SUM(BB168-BC168-BD168)</f>
        <v>#N/A</v>
      </c>
      <c r="BF168" s="452">
        <f>IF(AF168=$AG$196,0,$Z$80)</f>
        <v>0</v>
      </c>
      <c r="BG168" s="453">
        <f>IF(BF168=0,0,BE168/BF168)</f>
        <v>0</v>
      </c>
      <c r="BH168" s="439" t="str">
        <f>IF(BG168=0,"Not applicable",IF(BG168&gt;=110%,"PASS",IF(BG168&lt;110%,"FAIL")))</f>
        <v>Not applicable</v>
      </c>
      <c r="BI168" s="105" t="e">
        <f>SUM(AK168+AL168)</f>
        <v>#N/A</v>
      </c>
      <c r="BJ168" s="105" t="e">
        <f t="shared" si="48"/>
        <v>#N/A</v>
      </c>
      <c r="BK168" s="550" t="e">
        <f t="shared" si="49"/>
        <v>#N/A</v>
      </c>
      <c r="BL168" s="105" t="e">
        <f t="shared" si="44"/>
        <v>#N/A</v>
      </c>
      <c r="BM168" s="105">
        <f t="shared" si="45"/>
        <v>1267.1546333333331</v>
      </c>
      <c r="BN168" s="105" t="e">
        <f t="shared" si="46"/>
        <v>#N/A</v>
      </c>
      <c r="BO168" s="105">
        <f>IF(AN168=$AG$196,0,$Z$80)</f>
        <v>0</v>
      </c>
      <c r="BP168" s="567">
        <f t="shared" si="47"/>
        <v>0</v>
      </c>
      <c r="BQ168" s="104" t="str">
        <f>IF(BP168=0,"Not applicable",IF(BP168&gt;=110%,"PASS",IF(BP168&lt;110%,"FAIL")))</f>
        <v>Not applicable</v>
      </c>
      <c r="BR168" s="104"/>
    </row>
    <row r="169" spans="2:70">
      <c r="H169" s="73"/>
      <c r="I169" s="454"/>
      <c r="BI169" s="104"/>
      <c r="BJ169" s="104"/>
      <c r="BK169" s="104"/>
      <c r="BL169" s="104"/>
      <c r="BM169" s="104"/>
      <c r="BN169" s="104"/>
      <c r="BO169" s="104"/>
      <c r="BP169" s="104"/>
      <c r="BQ169" s="104"/>
      <c r="BR169" s="104"/>
    </row>
    <row r="170" spans="2:70">
      <c r="H170" s="73"/>
      <c r="I170" s="454"/>
      <c r="BI170" s="104"/>
      <c r="BJ170" s="104"/>
      <c r="BK170" s="566" t="s">
        <v>762</v>
      </c>
      <c r="BL170" s="104"/>
      <c r="BM170" s="104"/>
      <c r="BN170" s="104"/>
      <c r="BO170" s="104"/>
      <c r="BP170" s="104"/>
      <c r="BQ170" s="104"/>
      <c r="BR170" s="104"/>
    </row>
    <row r="171" spans="2:70">
      <c r="H171" s="73"/>
      <c r="I171" s="454"/>
      <c r="AD171" s="435" t="s">
        <v>760</v>
      </c>
      <c r="AE171" s="383"/>
      <c r="AF171" s="383"/>
      <c r="AG171" s="436"/>
      <c r="AH171" s="107"/>
      <c r="AI171" s="436"/>
      <c r="AJ171" s="107"/>
      <c r="AK171" s="436"/>
      <c r="AL171" s="107"/>
      <c r="AM171" s="409"/>
      <c r="AN171" s="437"/>
      <c r="AO171" s="566" t="s">
        <v>630</v>
      </c>
      <c r="AP171" s="566" t="s">
        <v>630</v>
      </c>
      <c r="AQ171" s="409"/>
      <c r="AR171" s="437"/>
      <c r="AS171" s="438"/>
      <c r="AT171" s="386"/>
      <c r="AU171" s="386"/>
      <c r="AV171" s="390"/>
      <c r="AW171" s="390"/>
      <c r="AX171" s="409"/>
      <c r="AY171" s="409"/>
      <c r="AZ171" s="409"/>
      <c r="BB171" s="640" t="s">
        <v>716</v>
      </c>
      <c r="BC171" s="439"/>
      <c r="BD171" s="439"/>
      <c r="BE171" s="439"/>
      <c r="BF171" s="439"/>
      <c r="BG171" s="439"/>
      <c r="BH171" s="439"/>
      <c r="BI171" s="104"/>
      <c r="BJ171" s="104"/>
      <c r="BK171" s="566" t="s">
        <v>831</v>
      </c>
      <c r="BL171" s="104"/>
      <c r="BM171" s="104"/>
      <c r="BN171" s="104"/>
      <c r="BO171" s="104"/>
      <c r="BP171" s="104"/>
      <c r="BQ171" s="104"/>
      <c r="BR171" s="104"/>
    </row>
    <row r="172" spans="2:70">
      <c r="H172" s="73"/>
      <c r="I172" s="454"/>
      <c r="AD172" s="435" t="s">
        <v>690</v>
      </c>
      <c r="AE172" s="383"/>
      <c r="AF172" s="435"/>
      <c r="AG172" s="440" t="s">
        <v>628</v>
      </c>
      <c r="AH172" s="441" t="s">
        <v>628</v>
      </c>
      <c r="AI172" s="440" t="s">
        <v>632</v>
      </c>
      <c r="AJ172" s="441" t="s">
        <v>632</v>
      </c>
      <c r="AK172" s="440" t="s">
        <v>629</v>
      </c>
      <c r="AL172" s="441" t="s">
        <v>629</v>
      </c>
      <c r="AM172" s="409" t="s">
        <v>628</v>
      </c>
      <c r="AN172" s="437" t="s">
        <v>628</v>
      </c>
      <c r="AO172" s="566" t="s">
        <v>850</v>
      </c>
      <c r="AP172" s="566" t="s">
        <v>850</v>
      </c>
      <c r="AQ172" s="409" t="s">
        <v>629</v>
      </c>
      <c r="AR172" s="437" t="s">
        <v>629</v>
      </c>
      <c r="AS172" s="443" t="s">
        <v>633</v>
      </c>
      <c r="AT172" s="396" t="s">
        <v>637</v>
      </c>
      <c r="AU172" s="396" t="s">
        <v>637</v>
      </c>
      <c r="AV172" s="398" t="s">
        <v>172</v>
      </c>
      <c r="AW172" s="398" t="s">
        <v>172</v>
      </c>
      <c r="AX172" s="401"/>
      <c r="AY172" s="401" t="s">
        <v>206</v>
      </c>
      <c r="AZ172" s="401" t="s">
        <v>206</v>
      </c>
      <c r="BB172" s="444" t="s">
        <v>683</v>
      </c>
      <c r="BC172" s="444" t="s">
        <v>679</v>
      </c>
      <c r="BD172" s="444" t="s">
        <v>681</v>
      </c>
      <c r="BE172" s="444" t="s">
        <v>685</v>
      </c>
      <c r="BF172" s="444" t="s">
        <v>458</v>
      </c>
      <c r="BG172" s="444" t="s">
        <v>689</v>
      </c>
      <c r="BH172" s="444"/>
      <c r="BI172" s="104"/>
      <c r="BJ172" s="104"/>
      <c r="BK172" s="567">
        <f>MIN(BP167:BP168)</f>
        <v>0</v>
      </c>
      <c r="BL172" s="104" t="str">
        <f>IF(BK172=0,"",IF(BK172=BP167,BD182,IF(BK172=BP168,BD183)))</f>
        <v/>
      </c>
      <c r="BM172" s="104"/>
      <c r="BN172" s="104"/>
      <c r="BO172" s="104"/>
      <c r="BP172" s="104"/>
      <c r="BQ172" s="104"/>
      <c r="BR172" s="104"/>
    </row>
    <row r="173" spans="2:70">
      <c r="AD173" s="435" t="s">
        <v>691</v>
      </c>
      <c r="AE173" s="383"/>
      <c r="AF173" s="445" t="s">
        <v>642</v>
      </c>
      <c r="AG173" s="440" t="s">
        <v>0</v>
      </c>
      <c r="AH173" s="441" t="s">
        <v>1</v>
      </c>
      <c r="AI173" s="440" t="s">
        <v>0</v>
      </c>
      <c r="AJ173" s="441" t="s">
        <v>1</v>
      </c>
      <c r="AK173" s="440" t="s">
        <v>0</v>
      </c>
      <c r="AL173" s="441" t="s">
        <v>1</v>
      </c>
      <c r="AM173" s="409" t="s">
        <v>677</v>
      </c>
      <c r="AN173" s="437" t="s">
        <v>678</v>
      </c>
      <c r="AO173" s="409" t="s">
        <v>677</v>
      </c>
      <c r="AP173" s="437" t="s">
        <v>678</v>
      </c>
      <c r="AQ173" s="409" t="s">
        <v>677</v>
      </c>
      <c r="AR173" s="437" t="s">
        <v>678</v>
      </c>
      <c r="AS173" s="443" t="s">
        <v>629</v>
      </c>
      <c r="AT173" s="396" t="s">
        <v>634</v>
      </c>
      <c r="AU173" s="396" t="s">
        <v>635</v>
      </c>
      <c r="AV173" s="398" t="s">
        <v>634</v>
      </c>
      <c r="AW173" s="398" t="s">
        <v>635</v>
      </c>
      <c r="AX173" s="401"/>
      <c r="AY173" s="401" t="s">
        <v>634</v>
      </c>
      <c r="AZ173" s="401" t="s">
        <v>635</v>
      </c>
      <c r="BB173" s="444" t="s">
        <v>684</v>
      </c>
      <c r="BC173" s="444" t="s">
        <v>682</v>
      </c>
      <c r="BD173" s="444" t="s">
        <v>682</v>
      </c>
      <c r="BE173" s="444"/>
      <c r="BF173" s="444" t="s">
        <v>686</v>
      </c>
      <c r="BG173" s="444" t="s">
        <v>658</v>
      </c>
      <c r="BH173" s="439"/>
      <c r="BI173" s="104"/>
      <c r="BJ173" s="104"/>
      <c r="BK173" s="104">
        <f>IF(BK172=BP167,AF167,IF(BK172=BP168,AF168))</f>
        <v>0</v>
      </c>
      <c r="BL173" s="104" t="s">
        <v>561</v>
      </c>
      <c r="BM173" s="104"/>
      <c r="BN173" s="104"/>
      <c r="BO173" s="104"/>
      <c r="BP173" s="104"/>
      <c r="BQ173" s="104"/>
      <c r="BR173" s="104"/>
    </row>
    <row r="174" spans="2:70">
      <c r="AD174" s="383"/>
      <c r="AE174" s="383"/>
      <c r="AF174" s="383"/>
      <c r="AG174" s="436"/>
      <c r="AH174" s="107"/>
      <c r="AI174" s="436"/>
      <c r="AJ174" s="107"/>
      <c r="AK174" s="436"/>
      <c r="AL174" s="107"/>
      <c r="AM174" s="409"/>
      <c r="AN174" s="437"/>
      <c r="AO174" s="409"/>
      <c r="AP174" s="437"/>
      <c r="AQ174" s="409"/>
      <c r="AR174" s="437"/>
      <c r="AS174" s="438"/>
      <c r="AT174" s="396" t="s">
        <v>10</v>
      </c>
      <c r="AU174" s="396" t="s">
        <v>605</v>
      </c>
      <c r="AV174" s="398" t="s">
        <v>10</v>
      </c>
      <c r="AW174" s="398" t="s">
        <v>605</v>
      </c>
      <c r="AX174" s="401"/>
      <c r="AY174" s="401" t="s">
        <v>10</v>
      </c>
      <c r="AZ174" s="401" t="s">
        <v>605</v>
      </c>
      <c r="BB174" s="439"/>
      <c r="BC174" s="444" t="s">
        <v>680</v>
      </c>
      <c r="BD174" s="444" t="s">
        <v>680</v>
      </c>
      <c r="BE174" s="444"/>
      <c r="BF174" s="444" t="s">
        <v>687</v>
      </c>
      <c r="BG174" s="444"/>
      <c r="BH174" s="439"/>
      <c r="BI174" s="104"/>
      <c r="BJ174" s="104"/>
      <c r="BK174" s="104"/>
      <c r="BL174" s="104"/>
      <c r="BM174" s="104"/>
      <c r="BN174" s="104"/>
      <c r="BO174" s="104"/>
      <c r="BP174" s="104"/>
      <c r="BQ174" s="104"/>
      <c r="BR174" s="104"/>
    </row>
    <row r="175" spans="2:70">
      <c r="AD175" s="382" t="s">
        <v>720</v>
      </c>
      <c r="AE175" s="383"/>
      <c r="AF175" s="383">
        <f>IF($AJ$203&gt;=AG196,AG196,AJ203)</f>
        <v>0</v>
      </c>
      <c r="AG175" s="455">
        <f>$AG$190</f>
        <v>0</v>
      </c>
      <c r="AH175" s="447">
        <f>$AG$191</f>
        <v>0</v>
      </c>
      <c r="AI175" s="446" t="e">
        <f>LOOKUP(AF175,AD114:AD153,AE114:AE153)</f>
        <v>#N/A</v>
      </c>
      <c r="AJ175" s="447" t="e">
        <f>LOOKUP(AF175,AD114:AD153,AG114:AG153)</f>
        <v>#N/A</v>
      </c>
      <c r="AK175" s="446">
        <f>IF($AI$201&lt;=AF175,AG175,AI175)</f>
        <v>0</v>
      </c>
      <c r="AL175" s="447">
        <f>IF($AI$202&lt;=AF175,AH175,AJ175)</f>
        <v>0</v>
      </c>
      <c r="AM175" s="407">
        <f>$AG$192</f>
        <v>0</v>
      </c>
      <c r="AN175" s="448">
        <f>$AG$193</f>
        <v>0</v>
      </c>
      <c r="AO175" s="407">
        <f>$AK$192</f>
        <v>0</v>
      </c>
      <c r="AP175" s="448">
        <f>$AK$193</f>
        <v>0</v>
      </c>
      <c r="AQ175" s="407">
        <f>IF($AJ$203&lt;=AF175,0,IF($AL$203=1,AO175,IF($AI$203&lt;=AF175,AM175,AO175)))</f>
        <v>0</v>
      </c>
      <c r="AR175" s="448">
        <f>IF($AJ$204&lt;=AF175,0,IF($AL$204=1,AP175,IF($AI$204&lt;=AF175,AN175,AP175)))</f>
        <v>0</v>
      </c>
      <c r="AS175" s="449">
        <f>SUM(AK175:AL175,AQ175:AR175)</f>
        <v>0</v>
      </c>
      <c r="AT175" s="450" t="e">
        <f>LOOKUP(AF175,AI114:AI153,AJ114:AJ153)</f>
        <v>#N/A</v>
      </c>
      <c r="AU175" s="404" t="e">
        <f>SUM(AT175/AS175)</f>
        <v>#N/A</v>
      </c>
      <c r="AV175" s="405" t="e">
        <f>LOOKUP(AF175,AI114:AI153,AO114:AO153)</f>
        <v>#N/A</v>
      </c>
      <c r="AW175" s="406" t="e">
        <f>SUM(AV175/AS175)</f>
        <v>#N/A</v>
      </c>
      <c r="AX175" s="408"/>
      <c r="AY175" s="407" t="e">
        <f>LOOKUP(AF175,AI114:AI153,AS114:AS153)</f>
        <v>#N/A</v>
      </c>
      <c r="AZ175" s="408" t="e">
        <f>SUM(AY175/AS175)</f>
        <v>#N/A</v>
      </c>
      <c r="BB175" s="452">
        <f>AS175/12</f>
        <v>0</v>
      </c>
      <c r="BC175" s="452">
        <f>SUM($L$61/12)</f>
        <v>1267.1546333333331</v>
      </c>
      <c r="BD175" s="452">
        <f>IF(AQ175+AR175=0,0,('Support borrower Affordability'!$K$63/12))</f>
        <v>0</v>
      </c>
      <c r="BE175" s="452">
        <f>SUM(BB175-BC175-BD175)</f>
        <v>-1267.1546333333331</v>
      </c>
      <c r="BF175" s="452">
        <f>IF(AF175&gt;=$AG$196,0,$Z$80)</f>
        <v>0</v>
      </c>
      <c r="BG175" s="456">
        <f>IF(BF175=0,0,BE175/BF175)</f>
        <v>0</v>
      </c>
      <c r="BH175" s="439" t="str">
        <f>IF(BG175=0,"Not applicable",IF(BG175&gt;=110%,"PASS",IF(BG175&lt;110%,"FAIL")))</f>
        <v>Not applicable</v>
      </c>
      <c r="BI175" s="104"/>
      <c r="BJ175" s="104"/>
      <c r="BK175" s="104"/>
      <c r="BL175" s="104"/>
      <c r="BM175" s="104"/>
      <c r="BN175" s="104"/>
      <c r="BO175" s="104"/>
      <c r="BP175" s="104"/>
      <c r="BQ175" s="104"/>
      <c r="BR175" s="104"/>
    </row>
    <row r="176" spans="2:70">
      <c r="AD176" s="382" t="s">
        <v>721</v>
      </c>
      <c r="AE176" s="383"/>
      <c r="AF176" s="383">
        <f>IF($AJ$204&gt;=AG196,AG196,AJ204)</f>
        <v>0</v>
      </c>
      <c r="AG176" s="446">
        <f>$AG$190</f>
        <v>0</v>
      </c>
      <c r="AH176" s="447">
        <f>$AG$191</f>
        <v>0</v>
      </c>
      <c r="AI176" s="446" t="e">
        <f>LOOKUP(AF176,AD114:AD153,AE114:AE153)</f>
        <v>#N/A</v>
      </c>
      <c r="AJ176" s="447" t="e">
        <f>LOOKUP(AF176,AD114:AD153,AG114:AG153)</f>
        <v>#N/A</v>
      </c>
      <c r="AK176" s="446">
        <f>IF($AI$201&lt;=AF176,AG176,AI176)</f>
        <v>0</v>
      </c>
      <c r="AL176" s="447">
        <f>IF($AI$202&lt;=AF176,AH176,AJ176)</f>
        <v>0</v>
      </c>
      <c r="AM176" s="407">
        <f>$AG$192</f>
        <v>0</v>
      </c>
      <c r="AN176" s="448">
        <f>$AG$193</f>
        <v>0</v>
      </c>
      <c r="AO176" s="407">
        <f>$AK$192</f>
        <v>0</v>
      </c>
      <c r="AP176" s="448">
        <f>$AK$193</f>
        <v>0</v>
      </c>
      <c r="AQ176" s="407">
        <f>IF($AJ$203&lt;=AF176,0,IF($AL$203=1,AO176,IF($AI$203&lt;=AF176,AM176,AO176)))</f>
        <v>0</v>
      </c>
      <c r="AR176" s="448">
        <f>IF($AJ$204&lt;=AF176,0,IF($AL$204=1,AP176,IF($AI$204&lt;=AF176,AN176,AP176)))</f>
        <v>0</v>
      </c>
      <c r="AS176" s="449">
        <f>SUM(AK176:AL176,AQ176:AR176)</f>
        <v>0</v>
      </c>
      <c r="AT176" s="450" t="e">
        <f>LOOKUP(AF176,AI114:AI153,AJ114:AJ153)</f>
        <v>#N/A</v>
      </c>
      <c r="AU176" s="404" t="e">
        <f>SUM(AT176/AS176)</f>
        <v>#N/A</v>
      </c>
      <c r="AV176" s="405" t="e">
        <f>LOOKUP(AF176,AI114:AI153,AO114:AO153)</f>
        <v>#N/A</v>
      </c>
      <c r="AW176" s="406" t="e">
        <f>SUM(AV176/AS176)</f>
        <v>#N/A</v>
      </c>
      <c r="AX176" s="409"/>
      <c r="AY176" s="407" t="e">
        <f>LOOKUP(AF176,AI114:AI153,AS114:AS153)</f>
        <v>#N/A</v>
      </c>
      <c r="AZ176" s="408" t="e">
        <f>SUM(AY176/AS176)</f>
        <v>#N/A</v>
      </c>
      <c r="BB176" s="452">
        <f>AS176/12</f>
        <v>0</v>
      </c>
      <c r="BC176" s="452">
        <f>SUM($L$61/12)</f>
        <v>1267.1546333333331</v>
      </c>
      <c r="BD176" s="452">
        <f>IF(AQ176+AR176=0,0,('Support borrower Affordability'!$K$63/12))</f>
        <v>0</v>
      </c>
      <c r="BE176" s="452">
        <f>SUM(BB176-BC176-BD176)</f>
        <v>-1267.1546333333331</v>
      </c>
      <c r="BF176" s="452">
        <f>IF(AF176&gt;=$AG$196,0,$Z$80)</f>
        <v>0</v>
      </c>
      <c r="BG176" s="456">
        <f>IF(BF176=0,0,BE176/BF176)</f>
        <v>0</v>
      </c>
      <c r="BH176" s="439" t="str">
        <f>IF(BG176=0,"Not applicable",IF(BG176&gt;=110%,"PASS",IF(BG176&lt;110%,"FAIL")))</f>
        <v>Not applicable</v>
      </c>
      <c r="BI176" s="104"/>
      <c r="BJ176" s="104"/>
      <c r="BK176" s="104"/>
      <c r="BL176" s="104"/>
      <c r="BM176" s="104"/>
      <c r="BN176" s="104"/>
      <c r="BO176" s="104"/>
      <c r="BP176" s="104"/>
      <c r="BQ176" s="104"/>
      <c r="BR176" s="104"/>
    </row>
    <row r="177" spans="4:69">
      <c r="AD177" s="159"/>
      <c r="AG177" s="148"/>
      <c r="AH177" s="148"/>
      <c r="AI177" s="148"/>
      <c r="AJ177" s="148"/>
      <c r="AK177" s="148"/>
      <c r="AL177" s="148"/>
      <c r="AM177" s="148"/>
      <c r="AN177" s="148"/>
      <c r="AO177" s="148"/>
      <c r="AP177" s="148"/>
      <c r="AQ177" s="148"/>
      <c r="AR177" s="148"/>
      <c r="AS177" s="148"/>
    </row>
    <row r="178" spans="4:69">
      <c r="L178" s="156"/>
      <c r="AI178" s="148"/>
      <c r="AJ178" s="148"/>
      <c r="AK178" s="148"/>
      <c r="AL178" s="148"/>
      <c r="AM178" s="148"/>
      <c r="AN178" s="148"/>
      <c r="AO178" s="148"/>
      <c r="AP178" s="148"/>
      <c r="AQ178" s="148"/>
      <c r="AR178" s="148"/>
      <c r="AS178" s="148"/>
    </row>
    <row r="179" spans="4:69">
      <c r="L179" s="156"/>
      <c r="AX179" s="409"/>
      <c r="AY179" s="409"/>
      <c r="AZ179" s="401" t="s">
        <v>688</v>
      </c>
      <c r="BA179" s="409"/>
      <c r="BB179" s="409"/>
      <c r="BC179" s="433" t="s">
        <v>761</v>
      </c>
      <c r="BD179" s="431" t="s">
        <v>718</v>
      </c>
      <c r="BE179" s="409"/>
      <c r="BF179" s="409"/>
      <c r="BG179" s="409"/>
      <c r="BH179" s="409"/>
      <c r="BI179" s="409"/>
      <c r="BJ179" s="409"/>
      <c r="BK179" s="409"/>
      <c r="BL179" s="409"/>
      <c r="BM179" s="409"/>
      <c r="BN179" s="409"/>
      <c r="BO179" s="409"/>
      <c r="BP179" s="409"/>
      <c r="BQ179" s="409"/>
    </row>
    <row r="180" spans="4:69">
      <c r="D180" s="457"/>
      <c r="G180" s="73"/>
      <c r="H180" s="37"/>
      <c r="L180" s="156"/>
      <c r="AX180" s="409"/>
      <c r="AY180" s="458" t="s">
        <v>783</v>
      </c>
      <c r="AZ180" s="433" t="str">
        <f>IF(AF165=0,"",AF165)</f>
        <v/>
      </c>
      <c r="BA180" s="409" t="str">
        <f>BH165</f>
        <v>Not applicable</v>
      </c>
      <c r="BB180" s="459">
        <f>BG165</f>
        <v>0</v>
      </c>
      <c r="BC180" s="460" t="str">
        <f>IF(BB180=0,"",BB180)</f>
        <v/>
      </c>
      <c r="BD180" s="409" t="str">
        <f>IF(AZ180=0,"",IF(BH165="Not applicable","",IF(BH165="FAIL","The loan is estimated to become unaffordable when the first name occupying borrower retires in "&amp;(AF165)&amp;" years","The loan is estimated to be affordable when the first named occupying borrower retires in "&amp;(AF165)&amp;" years")))</f>
        <v/>
      </c>
      <c r="BE180" s="409"/>
      <c r="BF180" s="409"/>
      <c r="BG180" s="409"/>
      <c r="BH180" s="409"/>
      <c r="BI180" s="409"/>
      <c r="BJ180" s="409"/>
      <c r="BK180" s="409"/>
      <c r="BL180" s="409"/>
      <c r="BM180" s="409"/>
      <c r="BN180" s="409"/>
      <c r="BO180" s="409"/>
      <c r="BP180" s="409"/>
      <c r="BQ180" s="409"/>
    </row>
    <row r="181" spans="4:69">
      <c r="D181" s="457"/>
      <c r="G181" s="271"/>
      <c r="H181" s="37"/>
      <c r="L181" s="156"/>
      <c r="AX181" s="409"/>
      <c r="AY181" s="458" t="s">
        <v>784</v>
      </c>
      <c r="AZ181" s="433">
        <f>AF166</f>
        <v>0</v>
      </c>
      <c r="BA181" s="409" t="str">
        <f>BH166</f>
        <v>Not applicable</v>
      </c>
      <c r="BB181" s="459">
        <f>BG166</f>
        <v>0</v>
      </c>
      <c r="BC181" s="460" t="str">
        <f>IF(BB181=0,"",BB181)</f>
        <v/>
      </c>
      <c r="BD181" s="409" t="str">
        <f>IF(AZ181=0,"",IF(BH166="Not applicable","",IF(BH166="FAIL","The loan is estimated to become unaffordable when the second named occupying borrower retires in "&amp;(AF166)&amp;" years","The loan is estimated to be affordable when the second named occupying borrower retires in "&amp;(AF166)&amp;" years")))</f>
        <v/>
      </c>
      <c r="BE181" s="409"/>
      <c r="BF181" s="409"/>
      <c r="BG181" s="409"/>
      <c r="BH181" s="409"/>
      <c r="BI181" s="409"/>
      <c r="BJ181" s="409"/>
      <c r="BK181" s="409"/>
      <c r="BL181" s="409"/>
      <c r="BM181" s="409"/>
      <c r="BN181" s="409"/>
      <c r="BO181" s="409"/>
      <c r="BP181" s="409"/>
      <c r="BQ181" s="409"/>
    </row>
    <row r="182" spans="4:69">
      <c r="D182" s="457"/>
      <c r="H182" s="37"/>
      <c r="L182" s="156"/>
      <c r="AX182" s="409"/>
      <c r="AY182" s="458" t="s">
        <v>781</v>
      </c>
      <c r="AZ182" s="433">
        <f>AF167</f>
        <v>0</v>
      </c>
      <c r="BA182" s="409" t="str">
        <f>BH167</f>
        <v>Not applicable</v>
      </c>
      <c r="BB182" s="459">
        <f>BG167</f>
        <v>0</v>
      </c>
      <c r="BC182" s="460" t="str">
        <f>IF(BB182=0,"",BB182)</f>
        <v/>
      </c>
      <c r="BD182" s="409" t="str">
        <f>IF(AZ182=0,"",IF(BH167="Not applicable","",IF(BH167="FAIL","The loan is estimated to become unaffordable to all borrowers when the first named supporting borrower retires in "&amp;(AF167)&amp;" years","The loan is estimated to be affordable to all borrowers when the first named supporting borrower retires in "&amp;(AF167)&amp;" years")))</f>
        <v/>
      </c>
      <c r="BE182" s="409"/>
      <c r="BF182" s="409"/>
      <c r="BG182" s="409"/>
      <c r="BH182" s="409"/>
      <c r="BI182" s="409"/>
      <c r="BJ182" s="409"/>
      <c r="BK182" s="409"/>
      <c r="BL182" s="409"/>
      <c r="BM182" s="409"/>
      <c r="BN182" s="409"/>
      <c r="BO182" s="409"/>
      <c r="BP182" s="409"/>
      <c r="BQ182" s="409"/>
    </row>
    <row r="183" spans="4:69">
      <c r="D183" s="457"/>
      <c r="G183" s="73"/>
      <c r="L183" s="156"/>
      <c r="AX183" s="409"/>
      <c r="AY183" s="458" t="s">
        <v>782</v>
      </c>
      <c r="AZ183" s="433">
        <f>AF168</f>
        <v>0</v>
      </c>
      <c r="BA183" s="409" t="str">
        <f>BH168</f>
        <v>Not applicable</v>
      </c>
      <c r="BB183" s="459">
        <f>BG168</f>
        <v>0</v>
      </c>
      <c r="BC183" s="460" t="str">
        <f>IF(BB183=0,"",BB183)</f>
        <v/>
      </c>
      <c r="BD183" s="409" t="str">
        <f>IF(AZ183=0,"",IF(BH168="Not applicable","",IF(BH168="FAIL","The loan is estimated to become unaffordable to all borrowers when the second named supporting borrower retires in "&amp;(AF168)&amp;" years","The loan is estimated to be affordable to all borrowers when the second named supporting borrower retires in "&amp;(AF168)&amp;" years")))</f>
        <v/>
      </c>
      <c r="BE183" s="409"/>
      <c r="BF183" s="409"/>
      <c r="BG183" s="409"/>
      <c r="BH183" s="409"/>
      <c r="BI183" s="409"/>
      <c r="BJ183" s="409"/>
      <c r="BK183" s="409"/>
      <c r="BL183" s="409"/>
      <c r="BM183" s="409"/>
      <c r="BN183" s="409"/>
      <c r="BO183" s="409"/>
      <c r="BP183" s="409"/>
      <c r="BQ183" s="409"/>
    </row>
    <row r="184" spans="4:69">
      <c r="D184" s="457"/>
      <c r="G184" s="271"/>
      <c r="L184" s="156"/>
      <c r="AX184" s="409"/>
      <c r="AY184" s="409"/>
      <c r="AZ184" s="409"/>
      <c r="BA184" s="409"/>
      <c r="BB184" s="409"/>
      <c r="BC184" s="409"/>
      <c r="BD184" s="431" t="s">
        <v>26</v>
      </c>
      <c r="BE184" s="409"/>
      <c r="BF184" s="409"/>
      <c r="BG184" s="409"/>
      <c r="BH184" s="409"/>
      <c r="BI184" s="409"/>
      <c r="BJ184" s="409"/>
      <c r="BK184" s="409"/>
      <c r="BL184" s="409"/>
      <c r="BM184" s="409"/>
      <c r="BN184" s="409"/>
      <c r="BO184" s="409"/>
      <c r="BP184" s="409"/>
      <c r="BQ184" s="409"/>
    </row>
    <row r="185" spans="4:69">
      <c r="D185" s="457"/>
      <c r="L185" s="156"/>
      <c r="AD185" s="461" t="s">
        <v>636</v>
      </c>
      <c r="AE185" s="383"/>
      <c r="AF185" s="383">
        <f>MIN(AJ201,AJ203)</f>
        <v>85</v>
      </c>
      <c r="AG185" s="462">
        <f>AG190</f>
        <v>0</v>
      </c>
      <c r="AH185" s="462">
        <f>LOOKUP(AF185,AD114:AD148,AE114:AE148)</f>
        <v>0</v>
      </c>
      <c r="AI185" s="462">
        <f>IF(AF221&lt;=AF185,AG185,AH185)</f>
        <v>0</v>
      </c>
      <c r="AJ185" s="462">
        <f>AG192</f>
        <v>0</v>
      </c>
      <c r="AK185" s="462">
        <f>AJ189</f>
        <v>0</v>
      </c>
      <c r="AL185" s="462">
        <f>IF(AJ221&lt;=AF185,AJ185,AK185)</f>
        <v>0</v>
      </c>
      <c r="AM185" s="449">
        <f>SUM(AI185+AL185)</f>
        <v>0</v>
      </c>
      <c r="AN185" s="450" t="e">
        <f>LOOKUP(AF185,AI115:AI153,AJ115:AJ153)</f>
        <v>#DIV/0!</v>
      </c>
      <c r="AO185" s="404" t="e">
        <f>SUM(AN185/AM185)</f>
        <v>#DIV/0!</v>
      </c>
      <c r="AP185" s="405">
        <f>LOOKUP(AF185,AI114:AI148,AO114:AO148)</f>
        <v>0</v>
      </c>
      <c r="AQ185" s="406" t="e">
        <f>SUM(AP185/AM185)</f>
        <v>#DIV/0!</v>
      </c>
      <c r="AR185" s="428" t="e">
        <f>LOOKUP(AF185,AI114:AI148,AS114:AS148)</f>
        <v>#DIV/0!</v>
      </c>
      <c r="AS185" s="451" t="e">
        <f>SUM(AR185/AM185)</f>
        <v>#DIV/0!</v>
      </c>
      <c r="AX185" s="104"/>
      <c r="AY185" s="565" t="s">
        <v>827</v>
      </c>
      <c r="AZ185" s="284">
        <f>MIN(AZ180:AZ183)</f>
        <v>0</v>
      </c>
      <c r="BA185" s="463" t="s">
        <v>762</v>
      </c>
      <c r="BB185" s="409"/>
      <c r="BC185" s="409"/>
      <c r="BD185" s="409"/>
      <c r="BE185" s="409"/>
      <c r="BF185" s="409"/>
      <c r="BG185" s="409"/>
      <c r="BH185" s="409"/>
      <c r="BI185" s="409"/>
      <c r="BJ185" s="409"/>
      <c r="BK185" s="409"/>
      <c r="BL185" s="409"/>
      <c r="BM185" s="409"/>
      <c r="BN185" s="409"/>
      <c r="BO185" s="409"/>
      <c r="BP185" s="409"/>
      <c r="BQ185" s="409"/>
    </row>
    <row r="186" spans="4:69">
      <c r="D186" s="457"/>
      <c r="L186" s="156"/>
      <c r="AN186" s="162"/>
      <c r="AX186" s="409"/>
      <c r="AY186" s="409"/>
      <c r="AZ186" s="409"/>
      <c r="BA186" s="409" t="str">
        <f>IF(BC186=0,"Not applicable",IF(BC186=BC182,BA182,IF(BC186=BC183,BA183,IF(BC186=BC181,BA181,IF(BC186=BC180,BA180,(LOOKUP(BC186,BA180:BA183,BC180:BC183)))))))</f>
        <v>Not applicable</v>
      </c>
      <c r="BB186" s="409"/>
      <c r="BC186" s="464">
        <f>MIN(BC180:BC183)</f>
        <v>0</v>
      </c>
      <c r="BD186" s="409" t="str">
        <f>IF(BC186=0,"",IF(BC186=BC182,BD182,IF(BC186=BC183,BD183,IF(BC186=BC181,BD181,IF(BC186=BC180,BD180)))))</f>
        <v/>
      </c>
      <c r="BE186" s="409"/>
      <c r="BF186" s="409"/>
      <c r="BG186" s="409"/>
      <c r="BH186" s="409"/>
      <c r="BI186" s="409"/>
      <c r="BJ186" s="409"/>
      <c r="BK186" s="409"/>
      <c r="BL186" s="409"/>
      <c r="BM186" s="409"/>
      <c r="BN186" s="409"/>
      <c r="BO186" s="409"/>
      <c r="BP186" s="409"/>
      <c r="BQ186" s="409"/>
    </row>
    <row r="187" spans="4:69">
      <c r="D187" s="457"/>
      <c r="E187" s="66"/>
      <c r="F187" s="66"/>
      <c r="G187" s="66"/>
      <c r="H187" s="66"/>
      <c r="L187" s="156"/>
      <c r="AJ187" s="124" t="s">
        <v>847</v>
      </c>
      <c r="AK187" s="104"/>
      <c r="AL187" s="104"/>
      <c r="AM187" s="104"/>
      <c r="AX187" s="409"/>
      <c r="AY187" s="409"/>
      <c r="AZ187" s="409"/>
      <c r="BA187" s="409"/>
      <c r="BB187" s="409"/>
      <c r="BC187" s="409" t="b">
        <f>IF(BC186=BC182,AZ182,IF(BC186=BC183,AZ183,IF(BC186=BC181,AZ181,IF(BC186=BC180,AZ180))))</f>
        <v>0</v>
      </c>
      <c r="BD187" s="431" t="s">
        <v>561</v>
      </c>
      <c r="BE187" s="409"/>
      <c r="BF187" s="409"/>
      <c r="BG187" s="409"/>
      <c r="BH187" s="409"/>
      <c r="BI187" s="409"/>
      <c r="BJ187" s="409"/>
      <c r="BK187" s="409"/>
      <c r="BL187" s="409"/>
      <c r="BM187" s="409"/>
      <c r="BN187" s="409"/>
      <c r="BO187" s="409"/>
      <c r="BP187" s="409"/>
      <c r="BQ187" s="409"/>
    </row>
    <row r="188" spans="4:69">
      <c r="D188" s="73"/>
      <c r="E188" s="465"/>
      <c r="F188" s="465"/>
      <c r="G188" s="466"/>
      <c r="H188" s="466"/>
      <c r="L188" s="156"/>
      <c r="AG188" s="213" t="s">
        <v>626</v>
      </c>
      <c r="AH188" s="210" t="s">
        <v>623</v>
      </c>
      <c r="AJ188" s="437"/>
      <c r="AK188" s="437"/>
      <c r="AL188" s="437"/>
      <c r="AM188" s="437"/>
      <c r="AX188" s="409"/>
      <c r="AY188" s="409"/>
      <c r="AZ188" s="400" t="s">
        <v>717</v>
      </c>
      <c r="BA188" s="409"/>
      <c r="BB188" s="409"/>
      <c r="BC188" s="409"/>
      <c r="BD188" s="409"/>
      <c r="BE188" s="409"/>
      <c r="BF188" s="409"/>
      <c r="BG188" s="409"/>
      <c r="BH188" s="409"/>
      <c r="BI188" s="409"/>
      <c r="BJ188" s="409"/>
      <c r="BK188" s="409"/>
      <c r="BL188" s="409"/>
      <c r="BM188" s="409"/>
      <c r="BN188" s="409"/>
      <c r="BO188" s="409"/>
      <c r="BP188" s="409"/>
      <c r="BQ188" s="409"/>
    </row>
    <row r="189" spans="4:69">
      <c r="D189" s="73"/>
      <c r="E189" s="465"/>
      <c r="F189" s="465"/>
      <c r="G189" s="466"/>
      <c r="H189" s="466"/>
      <c r="L189" s="156"/>
      <c r="AJ189" s="448">
        <f>'Income &amp; Committed Expenditure'!$Q$65</f>
        <v>0</v>
      </c>
      <c r="AK189" s="639" t="s">
        <v>848</v>
      </c>
      <c r="AL189" s="104"/>
      <c r="AM189" s="104"/>
      <c r="AN189" s="213"/>
      <c r="AO189" s="213"/>
      <c r="AP189" s="213"/>
      <c r="AR189" s="213"/>
      <c r="AS189" s="213"/>
      <c r="AX189" s="409"/>
      <c r="AY189" s="409"/>
      <c r="AZ189" s="409"/>
      <c r="BA189" s="409"/>
      <c r="BB189" s="409"/>
      <c r="BC189" s="409"/>
      <c r="BD189" s="409"/>
      <c r="BE189" s="409"/>
      <c r="BF189" s="409"/>
      <c r="BG189" s="409"/>
      <c r="BH189" s="409"/>
      <c r="BI189" s="409"/>
      <c r="BJ189" s="409"/>
      <c r="BK189" s="409"/>
      <c r="BL189" s="409"/>
      <c r="BM189" s="409"/>
      <c r="BN189" s="409"/>
      <c r="BO189" s="409"/>
      <c r="BP189" s="409"/>
      <c r="BQ189" s="409"/>
    </row>
    <row r="190" spans="4:69">
      <c r="D190" s="73"/>
      <c r="E190" s="465"/>
      <c r="F190" s="465"/>
      <c r="G190" s="466"/>
      <c r="H190" s="466"/>
      <c r="T190" s="369"/>
      <c r="AE190" s="468" t="s">
        <v>434</v>
      </c>
      <c r="AF190" s="436"/>
      <c r="AG190" s="446">
        <f>AA14</f>
        <v>0</v>
      </c>
      <c r="AH190" s="436">
        <f>AI201</f>
        <v>0</v>
      </c>
      <c r="AJ190" s="437"/>
      <c r="AK190" s="437"/>
      <c r="AL190" s="437"/>
      <c r="AM190" s="437"/>
      <c r="AO190" s="148"/>
      <c r="AP190" s="418"/>
      <c r="AR190" s="148"/>
      <c r="AS190" s="418"/>
      <c r="AX190" s="409"/>
      <c r="AY190" s="409"/>
      <c r="AZ190" s="469" t="s">
        <v>658</v>
      </c>
      <c r="BA190" s="469" t="s">
        <v>761</v>
      </c>
      <c r="BB190" s="401" t="s">
        <v>689</v>
      </c>
      <c r="BC190" s="469" t="s">
        <v>761</v>
      </c>
      <c r="BD190" s="409"/>
      <c r="BE190" s="409"/>
      <c r="BF190" s="409"/>
      <c r="BG190" s="409"/>
      <c r="BH190" s="409"/>
      <c r="BI190" s="409"/>
      <c r="BJ190" s="409"/>
      <c r="BK190" s="409"/>
      <c r="BL190" s="409"/>
      <c r="BM190" s="409"/>
      <c r="BN190" s="409"/>
      <c r="BO190" s="409"/>
      <c r="BP190" s="409"/>
      <c r="BQ190" s="409"/>
    </row>
    <row r="191" spans="4:69">
      <c r="D191" s="73"/>
      <c r="E191" s="465"/>
      <c r="F191" s="465"/>
      <c r="G191" s="466"/>
      <c r="H191" s="466"/>
      <c r="T191" s="369"/>
      <c r="AE191" s="470" t="s">
        <v>620</v>
      </c>
      <c r="AF191" s="107"/>
      <c r="AG191" s="447">
        <f>AA23</f>
        <v>0</v>
      </c>
      <c r="AH191" s="107">
        <f>AI202</f>
        <v>0</v>
      </c>
      <c r="AJ191" s="124" t="s">
        <v>849</v>
      </c>
      <c r="AK191" s="104"/>
      <c r="AL191" s="437"/>
      <c r="AM191" s="437"/>
      <c r="AO191" s="148"/>
      <c r="AP191" s="418"/>
      <c r="AR191" s="148"/>
      <c r="AS191" s="418"/>
      <c r="AX191" s="409"/>
      <c r="AY191" s="409"/>
      <c r="AZ191" s="459">
        <f>BG175</f>
        <v>0</v>
      </c>
      <c r="BA191" s="460" t="str">
        <f>IF(AZ191=0,"",AZ191)</f>
        <v/>
      </c>
      <c r="BB191" s="433">
        <f>AF175</f>
        <v>0</v>
      </c>
      <c r="BC191" s="409" t="str">
        <f>IF(BB191=0,"",BB191)</f>
        <v/>
      </c>
      <c r="BD191" s="409" t="str">
        <f>IF(BH175="Not applicable","",IF(BH175="FAIL","This loan is estimated to become unaffordable to the occupying borrower(s) without support when the first named supporting borrower reaches age 85 in "&amp;(AF175)&amp;" years",IF(BH175="PASS","This loan is estimated to be affordable to the occupying borrower(s) on their sole income when the first named supporting borrower reaches age 85 in "&amp;(AF175)&amp;" years")))</f>
        <v/>
      </c>
      <c r="BE191" s="409"/>
      <c r="BF191" s="409"/>
      <c r="BG191" s="409"/>
      <c r="BH191" s="409"/>
      <c r="BI191" s="409"/>
      <c r="BJ191" s="409"/>
      <c r="BK191" s="409"/>
      <c r="BL191" s="409"/>
      <c r="BM191" s="409"/>
      <c r="BN191" s="409"/>
      <c r="BO191" s="409"/>
      <c r="BP191" s="409"/>
      <c r="BQ191" s="409"/>
    </row>
    <row r="192" spans="4:69">
      <c r="D192" s="73"/>
      <c r="E192" s="465"/>
      <c r="F192" s="465"/>
      <c r="G192" s="466"/>
      <c r="H192" s="466"/>
      <c r="T192" s="369"/>
      <c r="AE192" s="431" t="s">
        <v>621</v>
      </c>
      <c r="AF192" s="409"/>
      <c r="AG192" s="407">
        <f>'Support borrower Affordability'!Y17</f>
        <v>0</v>
      </c>
      <c r="AH192" s="409">
        <f>AI203</f>
        <v>0</v>
      </c>
      <c r="AJ192" s="467" t="s">
        <v>440</v>
      </c>
      <c r="AK192" s="105">
        <f>'Supporting borrower(s) Income'!D54</f>
        <v>0</v>
      </c>
      <c r="AL192" s="437"/>
      <c r="AM192" s="437"/>
      <c r="AO192" s="148"/>
      <c r="AP192" s="418"/>
      <c r="AR192" s="148"/>
      <c r="AS192" s="418"/>
      <c r="AX192" s="409"/>
      <c r="AY192" s="409"/>
      <c r="AZ192" s="459">
        <f>BG176</f>
        <v>0</v>
      </c>
      <c r="BA192" s="460" t="str">
        <f>IF(AZ192=0,"",AZ192)</f>
        <v/>
      </c>
      <c r="BB192" s="433">
        <f>AF176</f>
        <v>0</v>
      </c>
      <c r="BC192" s="409" t="str">
        <f>IF(BB192=0,"",BB192)</f>
        <v/>
      </c>
      <c r="BD192" s="409" t="str">
        <f>IF(BH176="Not applicable","",IF(BH176="FAIL","This loan is estimated to become unaffordable to the occupying borrower(s) without support when the second named supporting borrower reaches age 85 in "&amp;(AF176)&amp;" years",IF(BH176="PASS","This loan is estimated to be affordable to the occupying borrower(s) on their sole income when the second named supporting borrower reaches age 85 in "&amp;(AF176)&amp;" years")))</f>
        <v/>
      </c>
      <c r="BE192" s="409"/>
      <c r="BF192" s="409"/>
      <c r="BG192" s="409"/>
      <c r="BH192" s="409"/>
      <c r="BI192" s="409"/>
      <c r="BJ192" s="409"/>
      <c r="BK192" s="409"/>
      <c r="BL192" s="409"/>
      <c r="BM192" s="409"/>
      <c r="BN192" s="409"/>
      <c r="BO192" s="409"/>
      <c r="BP192" s="409"/>
      <c r="BQ192" s="409"/>
    </row>
    <row r="193" spans="4:69">
      <c r="D193" s="37"/>
      <c r="F193" s="37"/>
      <c r="G193" s="37"/>
      <c r="H193" s="37"/>
      <c r="AE193" s="467" t="s">
        <v>631</v>
      </c>
      <c r="AF193" s="437"/>
      <c r="AG193" s="448">
        <f>'Support borrower Affordability'!Y26</f>
        <v>0</v>
      </c>
      <c r="AH193" s="437">
        <f>AI204</f>
        <v>0</v>
      </c>
      <c r="AJ193" s="467" t="s">
        <v>441</v>
      </c>
      <c r="AK193" s="105">
        <f>'Supporting borrower(s) Income'!G54</f>
        <v>0</v>
      </c>
      <c r="AL193" s="437"/>
      <c r="AM193" s="437"/>
      <c r="AO193" s="148"/>
      <c r="AP193" s="418"/>
      <c r="AR193" s="148"/>
      <c r="AS193" s="418"/>
      <c r="AX193" s="409"/>
      <c r="AY193" s="409"/>
      <c r="AZ193" s="409"/>
      <c r="BA193" s="401" t="s">
        <v>692</v>
      </c>
      <c r="BB193" s="409"/>
      <c r="BC193" s="409"/>
      <c r="BD193" s="409"/>
      <c r="BE193" s="409"/>
      <c r="BF193" s="409"/>
      <c r="BG193" s="409"/>
      <c r="BH193" s="409"/>
      <c r="BI193" s="409"/>
      <c r="BJ193" s="409"/>
      <c r="BK193" s="409"/>
      <c r="BL193" s="409"/>
      <c r="BM193" s="409"/>
      <c r="BN193" s="409"/>
      <c r="BO193" s="409"/>
      <c r="BP193" s="409"/>
      <c r="BQ193" s="409"/>
    </row>
    <row r="194" spans="4:69" ht="13.8" thickBot="1">
      <c r="D194" s="37"/>
      <c r="F194" s="37"/>
      <c r="G194" s="37"/>
      <c r="H194" s="37"/>
      <c r="AF194" s="139" t="s">
        <v>2</v>
      </c>
      <c r="AG194" s="421">
        <f>SUM(AG190:AG193)</f>
        <v>0</v>
      </c>
      <c r="AO194" s="148"/>
      <c r="AP194" s="418"/>
      <c r="AR194" s="148"/>
      <c r="AS194" s="418"/>
      <c r="AX194" s="409"/>
      <c r="AY194" s="409"/>
      <c r="AZ194" s="409"/>
      <c r="BA194" s="471">
        <f>MIN(BA191:BA192)</f>
        <v>0</v>
      </c>
      <c r="BB194" s="409"/>
      <c r="BC194" s="409"/>
      <c r="BD194" s="409" t="str">
        <f>IF(BA194=AZ191,BD191,IF(BA194=AZ192,BD192))</f>
        <v/>
      </c>
      <c r="BE194" s="409"/>
      <c r="BF194" s="409"/>
      <c r="BG194" s="409"/>
      <c r="BH194" s="409"/>
      <c r="BI194" s="409"/>
      <c r="BJ194" s="409"/>
      <c r="BK194" s="409"/>
      <c r="BL194" s="409"/>
      <c r="BM194" s="409"/>
      <c r="BN194" s="409"/>
      <c r="BO194" s="409"/>
      <c r="BP194" s="409"/>
      <c r="BQ194" s="409"/>
    </row>
    <row r="195" spans="4:69" ht="13.8" thickTop="1">
      <c r="D195" s="37"/>
      <c r="F195" s="37"/>
      <c r="G195" s="37"/>
      <c r="H195" s="37"/>
      <c r="AO195" s="148"/>
      <c r="AP195" s="418"/>
      <c r="AR195" s="148"/>
      <c r="AS195" s="418"/>
      <c r="AX195" s="409"/>
      <c r="AY195" s="409"/>
      <c r="AZ195" s="409"/>
      <c r="BA195" s="409"/>
      <c r="BB195" s="409"/>
      <c r="BC195" s="409"/>
      <c r="BD195" s="409" t="str">
        <f>IF(BA194=AZ191,BH175,IF(BA194=AZ192,BH176))</f>
        <v>Not applicable</v>
      </c>
      <c r="BE195" s="409"/>
      <c r="BF195" s="409"/>
      <c r="BG195" s="409"/>
      <c r="BH195" s="409"/>
      <c r="BI195" s="409"/>
      <c r="BJ195" s="409"/>
      <c r="BK195" s="409"/>
      <c r="BL195" s="409"/>
      <c r="BM195" s="409"/>
      <c r="BN195" s="409"/>
      <c r="BO195" s="409"/>
      <c r="BP195" s="409"/>
      <c r="BQ195" s="409"/>
    </row>
    <row r="196" spans="4:69">
      <c r="D196" s="37"/>
      <c r="AE196" s="162" t="s">
        <v>581</v>
      </c>
      <c r="AG196" s="472">
        <f>C72</f>
        <v>0</v>
      </c>
      <c r="AI196" s="162" t="s">
        <v>625</v>
      </c>
      <c r="AJ196" s="383">
        <v>85</v>
      </c>
      <c r="AO196" s="148"/>
      <c r="AP196" s="418"/>
      <c r="AR196" s="148"/>
      <c r="AS196" s="418"/>
    </row>
    <row r="197" spans="4:69">
      <c r="D197" s="37"/>
      <c r="AO197" s="148"/>
      <c r="AP197" s="418"/>
      <c r="AR197" s="148"/>
      <c r="AS197" s="418"/>
    </row>
    <row r="198" spans="4:69">
      <c r="D198" s="37"/>
      <c r="L198" s="156"/>
      <c r="AE198" s="162" t="s">
        <v>617</v>
      </c>
      <c r="AO198" s="148"/>
      <c r="AP198" s="418"/>
      <c r="AR198" s="148"/>
      <c r="AS198" s="418"/>
    </row>
    <row r="199" spans="4:69">
      <c r="D199" s="37"/>
      <c r="L199" s="156"/>
      <c r="AG199" s="213" t="s">
        <v>619</v>
      </c>
      <c r="AH199" s="213" t="s">
        <v>622</v>
      </c>
      <c r="AI199" s="213" t="s">
        <v>623</v>
      </c>
      <c r="AJ199" s="213" t="s">
        <v>624</v>
      </c>
      <c r="AK199" s="213"/>
      <c r="AL199" s="213" t="s">
        <v>756</v>
      </c>
      <c r="AO199" s="148"/>
      <c r="AP199" s="418"/>
      <c r="AR199" s="148"/>
      <c r="AS199" s="418"/>
    </row>
    <row r="200" spans="4:69">
      <c r="D200" s="37"/>
      <c r="L200" s="156"/>
      <c r="AK200" s="213"/>
      <c r="AL200" s="213"/>
      <c r="AO200" s="148"/>
      <c r="AP200" s="418"/>
      <c r="AR200" s="148"/>
      <c r="AS200" s="418"/>
    </row>
    <row r="201" spans="4:69">
      <c r="D201" s="37"/>
      <c r="F201" s="73"/>
      <c r="H201" s="473"/>
      <c r="L201" s="156"/>
      <c r="AE201" s="468" t="s">
        <v>763</v>
      </c>
      <c r="AF201" s="436"/>
      <c r="AG201" s="436">
        <f>AA10</f>
        <v>0</v>
      </c>
      <c r="AH201" s="436">
        <f>AA12</f>
        <v>0</v>
      </c>
      <c r="AI201" s="436">
        <f>IF(AH201&lt;=AG201,0,AH201-AG201)</f>
        <v>0</v>
      </c>
      <c r="AJ201" s="474">
        <f>SUM(AJ196-AG201)</f>
        <v>85</v>
      </c>
      <c r="AK201" s="436"/>
      <c r="AL201" s="468">
        <f>IF(AI201=0,1,AI201)</f>
        <v>1</v>
      </c>
      <c r="AO201" s="148"/>
      <c r="AP201" s="418"/>
      <c r="AR201" s="148"/>
      <c r="AS201" s="418"/>
    </row>
    <row r="202" spans="4:69">
      <c r="D202" s="37"/>
      <c r="F202" s="73"/>
      <c r="H202" s="475"/>
      <c r="L202" s="156"/>
      <c r="AE202" s="470" t="s">
        <v>764</v>
      </c>
      <c r="AF202" s="107"/>
      <c r="AG202" s="107">
        <f>AA19</f>
        <v>0</v>
      </c>
      <c r="AH202" s="107">
        <f>AA21</f>
        <v>0</v>
      </c>
      <c r="AI202" s="107">
        <f>IF(AH202&lt;=AG202,0,AH202-AG202)</f>
        <v>0</v>
      </c>
      <c r="AJ202" s="476">
        <f>SUM(AJ196-AG202)</f>
        <v>85</v>
      </c>
      <c r="AK202" s="441"/>
      <c r="AL202" s="470">
        <f>IF(AI202=0,1,AI202)</f>
        <v>1</v>
      </c>
      <c r="AO202" s="148"/>
      <c r="AP202" s="418"/>
      <c r="AR202" s="148"/>
      <c r="AS202" s="418"/>
    </row>
    <row r="203" spans="4:69">
      <c r="D203" s="457"/>
      <c r="L203" s="156"/>
      <c r="AE203" s="431" t="s">
        <v>765</v>
      </c>
      <c r="AF203" s="409"/>
      <c r="AG203" s="409">
        <f>'Support borrower Affordability'!Y13</f>
        <v>0</v>
      </c>
      <c r="AH203" s="409">
        <f>'Support borrower Affordability'!Y15</f>
        <v>0</v>
      </c>
      <c r="AI203" s="409">
        <f>IF(AH203&lt;=AG203,0,AH203-AG203)</f>
        <v>0</v>
      </c>
      <c r="AJ203" s="458">
        <f>SUM(AJ196-AG203)</f>
        <v>85</v>
      </c>
      <c r="AK203" s="409"/>
      <c r="AL203" s="431">
        <f>IF(AI203=0,1,AI203)</f>
        <v>1</v>
      </c>
      <c r="AO203" s="148"/>
      <c r="AP203" s="418"/>
      <c r="AR203" s="148"/>
      <c r="AS203" s="418"/>
    </row>
    <row r="204" spans="4:69">
      <c r="D204" s="457"/>
      <c r="F204" s="37"/>
      <c r="G204" s="37"/>
      <c r="H204" s="37"/>
      <c r="L204" s="156"/>
      <c r="AE204" s="467" t="s">
        <v>766</v>
      </c>
      <c r="AF204" s="437"/>
      <c r="AG204" s="437">
        <f>'Support borrower Affordability'!Y22</f>
        <v>0</v>
      </c>
      <c r="AH204" s="437">
        <f>'Support borrower Affordability'!Y24</f>
        <v>0</v>
      </c>
      <c r="AI204" s="437">
        <f>IF(AH204&lt;=AG204,0,AH204-AG204)</f>
        <v>0</v>
      </c>
      <c r="AJ204" s="477">
        <f>SUM(AJ196-AG204)</f>
        <v>85</v>
      </c>
      <c r="AK204" s="437"/>
      <c r="AL204" s="467">
        <f>IF(AI204=0,1,AI204)</f>
        <v>1</v>
      </c>
      <c r="AO204" s="148"/>
      <c r="AP204" s="418"/>
      <c r="AR204" s="148"/>
      <c r="AS204" s="418"/>
    </row>
    <row r="205" spans="4:69">
      <c r="D205" s="37"/>
      <c r="F205" s="37"/>
      <c r="G205" s="37"/>
      <c r="H205" s="40"/>
      <c r="I205" s="478"/>
      <c r="L205" s="156"/>
      <c r="AO205" s="148"/>
      <c r="AP205" s="418"/>
      <c r="AR205" s="148"/>
      <c r="AS205" s="418"/>
    </row>
    <row r="206" spans="4:69">
      <c r="D206" s="37"/>
      <c r="F206" s="37"/>
      <c r="G206" s="37"/>
      <c r="H206" s="40"/>
      <c r="L206" s="156"/>
      <c r="AH206" s="139" t="s">
        <v>661</v>
      </c>
      <c r="AI206" s="139">
        <f>MIN(AI201:AI204)</f>
        <v>0</v>
      </c>
      <c r="AO206" s="148"/>
      <c r="AP206" s="418"/>
      <c r="AR206" s="148"/>
      <c r="AS206" s="418"/>
    </row>
    <row r="207" spans="4:69">
      <c r="D207" s="37"/>
      <c r="F207" s="37"/>
      <c r="G207" s="37"/>
      <c r="H207" s="40"/>
      <c r="I207" s="478"/>
      <c r="L207" s="156"/>
      <c r="AH207" s="139" t="s">
        <v>662</v>
      </c>
      <c r="AI207" s="139">
        <f>MIN(AJ203:AJ204)</f>
        <v>85</v>
      </c>
      <c r="AO207" s="148"/>
      <c r="AP207" s="418"/>
      <c r="AR207" s="148"/>
      <c r="AS207" s="418"/>
    </row>
    <row r="208" spans="4:69">
      <c r="D208" s="37"/>
      <c r="F208" s="37"/>
      <c r="G208" s="37"/>
      <c r="H208" s="37"/>
      <c r="L208" s="156"/>
      <c r="AO208" s="148"/>
      <c r="AP208" s="418"/>
      <c r="AR208" s="148"/>
      <c r="AS208" s="418"/>
    </row>
    <row r="209" spans="4:47">
      <c r="D209" s="37"/>
      <c r="F209" s="37"/>
      <c r="G209" s="37"/>
      <c r="H209" s="37"/>
      <c r="L209" s="156"/>
      <c r="AO209" s="148"/>
      <c r="AP209" s="418"/>
      <c r="AR209" s="148"/>
      <c r="AS209" s="418"/>
    </row>
    <row r="210" spans="4:47">
      <c r="D210" s="37"/>
      <c r="F210" s="37"/>
      <c r="G210" s="37"/>
      <c r="H210" s="37"/>
      <c r="L210" s="156"/>
      <c r="AE210" s="139" t="str">
        <f>IF(AI206&lt;AG196,"IMPORTANT - ONE OR MORE OF THE APPLICANTS / FAMILY MEMBERS WILL RETIRE BEFORE THE MORTAGE FINISHES &amp; INCOME MAY FALL","")</f>
        <v/>
      </c>
      <c r="AO210" s="148"/>
      <c r="AP210" s="418"/>
      <c r="AR210" s="148"/>
      <c r="AS210" s="418"/>
    </row>
    <row r="211" spans="4:47">
      <c r="D211" s="37"/>
      <c r="F211" s="37"/>
      <c r="G211" s="37"/>
      <c r="H211" s="37"/>
      <c r="L211" s="156"/>
      <c r="AE211" s="139" t="str">
        <f>IF(AI207&lt;AG196,"IMPORTANT - ONE OR MORE OF THE APPLICANTS / FAMILY MEMBERS WILL REACH THE AGE OF 85 BEFORE THE MORTAGE FINISHES","")</f>
        <v/>
      </c>
    </row>
    <row r="212" spans="4:47">
      <c r="D212" s="37"/>
      <c r="F212" s="37"/>
      <c r="G212" s="37"/>
      <c r="H212" s="37"/>
      <c r="L212" s="156"/>
    </row>
    <row r="213" spans="4:47">
      <c r="D213" s="37"/>
      <c r="F213" s="37"/>
      <c r="G213" s="37"/>
      <c r="H213" s="37"/>
      <c r="L213" s="156"/>
      <c r="AE213" s="162" t="s">
        <v>627</v>
      </c>
    </row>
    <row r="214" spans="4:47">
      <c r="D214" s="37"/>
      <c r="F214" s="37"/>
      <c r="G214" s="37"/>
      <c r="H214" s="37"/>
    </row>
    <row r="215" spans="4:47">
      <c r="D215" s="37"/>
      <c r="F215" s="37"/>
      <c r="G215" s="37"/>
      <c r="H215" s="37"/>
      <c r="AE215" s="139" t="str">
        <f>'Income &amp; Committed Expenditure'!L178</f>
        <v>Capital Repayment</v>
      </c>
    </row>
    <row r="216" spans="4:47">
      <c r="D216" s="37"/>
      <c r="F216" s="37"/>
      <c r="G216" s="37"/>
      <c r="H216" s="37"/>
    </row>
    <row r="217" spans="4:47">
      <c r="D217" s="37"/>
      <c r="F217" s="37"/>
      <c r="G217" s="37"/>
      <c r="H217" s="37"/>
      <c r="AE217" s="159" t="s">
        <v>576</v>
      </c>
      <c r="AG217" s="139">
        <v>1</v>
      </c>
    </row>
    <row r="218" spans="4:47">
      <c r="D218" s="37"/>
      <c r="F218" s="37"/>
      <c r="G218" s="37"/>
      <c r="H218" s="37"/>
      <c r="AE218" s="159" t="s">
        <v>172</v>
      </c>
      <c r="AG218" s="139">
        <v>2</v>
      </c>
    </row>
    <row r="219" spans="4:47">
      <c r="D219" s="37"/>
      <c r="F219" s="37"/>
      <c r="G219" s="37"/>
      <c r="H219" s="37"/>
      <c r="AE219" s="159" t="s">
        <v>206</v>
      </c>
      <c r="AG219" s="139">
        <v>3</v>
      </c>
      <c r="AU219" s="159"/>
    </row>
    <row r="220" spans="4:47">
      <c r="D220" s="37"/>
      <c r="F220" s="37"/>
      <c r="G220" s="37"/>
      <c r="H220" s="37"/>
      <c r="AU220" s="159"/>
    </row>
    <row r="221" spans="4:47">
      <c r="D221" s="37"/>
      <c r="F221" s="37"/>
      <c r="G221" s="37"/>
      <c r="H221" s="37"/>
      <c r="AD221" s="382" t="s">
        <v>638</v>
      </c>
      <c r="AE221" s="383"/>
      <c r="AF221" s="383">
        <f>AI201</f>
        <v>0</v>
      </c>
      <c r="AG221" s="383"/>
      <c r="AH221" s="382" t="s">
        <v>640</v>
      </c>
      <c r="AI221" s="383"/>
      <c r="AJ221" s="383">
        <f>AI203</f>
        <v>0</v>
      </c>
    </row>
    <row r="222" spans="4:47">
      <c r="D222" s="37"/>
      <c r="F222" s="37"/>
      <c r="G222" s="37"/>
      <c r="H222" s="37"/>
      <c r="AD222" s="382" t="s">
        <v>639</v>
      </c>
      <c r="AE222" s="383"/>
      <c r="AF222" s="383">
        <f>AJ201</f>
        <v>85</v>
      </c>
      <c r="AG222" s="383"/>
      <c r="AH222" s="382" t="s">
        <v>641</v>
      </c>
      <c r="AI222" s="383"/>
      <c r="AJ222" s="383">
        <f>AJ203</f>
        <v>85</v>
      </c>
    </row>
    <row r="223" spans="4:47">
      <c r="D223" s="37"/>
      <c r="F223" s="37"/>
      <c r="G223" s="37"/>
      <c r="H223" s="37"/>
    </row>
    <row r="224" spans="4:47">
      <c r="D224" s="37"/>
      <c r="F224" s="37"/>
      <c r="G224" s="37"/>
      <c r="H224" s="37"/>
      <c r="AE224" s="386" t="s">
        <v>701</v>
      </c>
      <c r="AF224" s="386"/>
      <c r="AG224" s="396" t="s">
        <v>696</v>
      </c>
      <c r="AH224" s="479">
        <f>IF(AK224=0,0,LOOKUP(1,AK228:AK261,AE228:AE261))</f>
        <v>0</v>
      </c>
      <c r="AI224" s="480" t="s">
        <v>561</v>
      </c>
      <c r="AJ224" s="386"/>
      <c r="AK224" s="386"/>
      <c r="AL224" s="390" t="s">
        <v>701</v>
      </c>
      <c r="AM224" s="390"/>
      <c r="AN224" s="398" t="s">
        <v>696</v>
      </c>
      <c r="AO224" s="390">
        <f>LOOKUP(1,AP228:AP262,AE228:AE262)</f>
        <v>1</v>
      </c>
      <c r="AP224" s="481" t="s">
        <v>561</v>
      </c>
      <c r="AQ224" s="409" t="s">
        <v>701</v>
      </c>
      <c r="AR224" s="409"/>
      <c r="AS224" s="482" t="s">
        <v>696</v>
      </c>
      <c r="AT224" s="458">
        <f>LOOKUP(1,AU228:AU262,AE228:AE262)</f>
        <v>1</v>
      </c>
      <c r="AU224" s="433" t="s">
        <v>561</v>
      </c>
    </row>
    <row r="225" spans="4:47">
      <c r="D225" s="37"/>
      <c r="F225" s="37"/>
      <c r="G225" s="37"/>
      <c r="H225" s="37"/>
      <c r="AD225" s="213" t="s">
        <v>697</v>
      </c>
      <c r="AE225" s="386"/>
      <c r="AF225" s="386"/>
      <c r="AG225" s="386"/>
      <c r="AH225" s="386"/>
      <c r="AI225" s="386"/>
      <c r="AJ225" s="386"/>
      <c r="AK225" s="386"/>
      <c r="AL225" s="390"/>
      <c r="AM225" s="390"/>
      <c r="AN225" s="390"/>
      <c r="AO225" s="390"/>
      <c r="AP225" s="390"/>
      <c r="AQ225" s="409"/>
      <c r="AR225" s="409"/>
      <c r="AS225" s="409"/>
      <c r="AT225" s="409"/>
      <c r="AU225" s="409"/>
    </row>
    <row r="226" spans="4:47">
      <c r="D226" s="37"/>
      <c r="F226" s="37"/>
      <c r="G226" s="37"/>
      <c r="H226" s="37"/>
      <c r="AD226" s="213" t="s">
        <v>624</v>
      </c>
      <c r="AE226" s="386"/>
      <c r="AF226" s="396" t="s">
        <v>607</v>
      </c>
      <c r="AG226" s="483" t="s">
        <v>702</v>
      </c>
      <c r="AH226" s="483" t="s">
        <v>704</v>
      </c>
      <c r="AI226" s="397" t="s">
        <v>705</v>
      </c>
      <c r="AJ226" s="386"/>
      <c r="AK226" s="386"/>
      <c r="AL226" s="398" t="s">
        <v>193</v>
      </c>
      <c r="AM226" s="390"/>
      <c r="AN226" s="484" t="s">
        <v>698</v>
      </c>
      <c r="AO226" s="390"/>
      <c r="AP226" s="390"/>
      <c r="AQ226" s="401" t="s">
        <v>206</v>
      </c>
      <c r="AR226" s="409"/>
      <c r="AS226" s="409" t="s">
        <v>698</v>
      </c>
      <c r="AT226" s="409"/>
      <c r="AU226" s="409"/>
    </row>
    <row r="227" spans="4:47">
      <c r="D227" s="37"/>
      <c r="F227" s="37"/>
      <c r="G227" s="37"/>
      <c r="H227" s="37"/>
      <c r="AE227" s="485" t="s">
        <v>561</v>
      </c>
      <c r="AF227" s="396" t="s">
        <v>695</v>
      </c>
      <c r="AG227" s="483" t="s">
        <v>703</v>
      </c>
      <c r="AH227" s="483" t="s">
        <v>703</v>
      </c>
      <c r="AI227" s="483" t="s">
        <v>684</v>
      </c>
      <c r="AJ227" s="485" t="s">
        <v>605</v>
      </c>
      <c r="AK227" s="386"/>
      <c r="AL227" s="398" t="s">
        <v>695</v>
      </c>
      <c r="AM227" s="390"/>
      <c r="AN227" s="484" t="s">
        <v>700</v>
      </c>
      <c r="AO227" s="484" t="s">
        <v>605</v>
      </c>
      <c r="AP227" s="390"/>
      <c r="AQ227" s="401" t="s">
        <v>695</v>
      </c>
      <c r="AR227" s="409"/>
      <c r="AS227" s="409" t="s">
        <v>700</v>
      </c>
      <c r="AT227" s="401" t="s">
        <v>605</v>
      </c>
      <c r="AU227" s="409"/>
    </row>
    <row r="228" spans="4:47">
      <c r="D228" s="37"/>
      <c r="F228" s="37"/>
      <c r="G228" s="37"/>
      <c r="H228" s="37"/>
      <c r="AD228" s="139">
        <f>AJ203</f>
        <v>85</v>
      </c>
      <c r="AE228" s="386">
        <v>1</v>
      </c>
      <c r="AF228" s="450" t="e">
        <f>LOOKUP(AE228,AI114:AI148,AJ114:AJ148)</f>
        <v>#DIV/0!</v>
      </c>
      <c r="AG228" s="450">
        <f t="shared" ref="AG228:AG267" si="50">IF($AG$190=0,AE114,$AG$190)</f>
        <v>0</v>
      </c>
      <c r="AH228" s="450">
        <f t="shared" ref="AH228:AH267" si="51">IF($AG$191=0,AG114,$AG$191)</f>
        <v>0</v>
      </c>
      <c r="AI228" s="450">
        <f>SUM(AG228+AH228)</f>
        <v>0</v>
      </c>
      <c r="AJ228" s="404" t="e">
        <f>SUM(AF228/AI228)</f>
        <v>#DIV/0!</v>
      </c>
      <c r="AK228" s="386" t="e">
        <f>IF(AJ228&lt;4.5,AK227+1,0)</f>
        <v>#DIV/0!</v>
      </c>
      <c r="AL228" s="405">
        <f>(IF(AD157="Interest-only",LOOKUP(AE228,AI114:AI148,AO114:AO148),0))</f>
        <v>0</v>
      </c>
      <c r="AM228" s="390"/>
      <c r="AN228" s="405">
        <f>IF(AL228=0,0,AI228)</f>
        <v>0</v>
      </c>
      <c r="AO228" s="406">
        <f>IF(AL228=0,0,AL228/AN228)</f>
        <v>0</v>
      </c>
      <c r="AP228" s="390">
        <f>IF(AO228&lt;4.5,AP227+1,0)</f>
        <v>1</v>
      </c>
      <c r="AQ228" s="407">
        <f>IF(AD157="Part &amp; Part",LOOKUP(AE228,AI114:AI148,AS114:AS148),0)</f>
        <v>0</v>
      </c>
      <c r="AR228" s="409"/>
      <c r="AS228" s="428">
        <f>IF(AQ228=0,0,AI228)</f>
        <v>0</v>
      </c>
      <c r="AT228" s="451">
        <f>IF(AQ228=0,0,AQ228/AS228)</f>
        <v>0</v>
      </c>
      <c r="AU228" s="409">
        <f>IF(AT228&lt;4.5,AU227+1,0)</f>
        <v>1</v>
      </c>
    </row>
    <row r="229" spans="4:47">
      <c r="D229" s="37"/>
      <c r="F229" s="37"/>
      <c r="G229" s="37"/>
      <c r="H229" s="37"/>
      <c r="AE229" s="386">
        <f>SUM(AE228+1)</f>
        <v>2</v>
      </c>
      <c r="AF229" s="450" t="e">
        <f t="shared" ref="AF229:AF267" si="52">LOOKUP(AE229,AI115:AI153,AJ115:AJ153)</f>
        <v>#DIV/0!</v>
      </c>
      <c r="AG229" s="450">
        <f t="shared" si="50"/>
        <v>0</v>
      </c>
      <c r="AH229" s="450">
        <f t="shared" si="51"/>
        <v>0</v>
      </c>
      <c r="AI229" s="450">
        <f t="shared" ref="AI229:AI267" si="53">SUM(AG229+AH229)</f>
        <v>0</v>
      </c>
      <c r="AJ229" s="404" t="e">
        <f t="shared" ref="AJ229:AJ267" si="54">SUM(AF229/AI229)</f>
        <v>#DIV/0!</v>
      </c>
      <c r="AK229" s="386" t="e">
        <f t="shared" ref="AK229:AK267" si="55">IF(AJ229&lt;4.5,AK228+1,0)</f>
        <v>#DIV/0!</v>
      </c>
      <c r="AL229" s="405">
        <f t="shared" ref="AL229:AL267" si="56">(IF(AD158="Interest-only",LOOKUP(AE229,AI115:AI153,AO115:AO153),0))</f>
        <v>0</v>
      </c>
      <c r="AM229" s="390"/>
      <c r="AN229" s="405">
        <f t="shared" ref="AN229:AN267" si="57">IF(AL229=0,0,AI229)</f>
        <v>0</v>
      </c>
      <c r="AO229" s="406">
        <f t="shared" ref="AO229:AO267" si="58">IF(AL229=0,0,AL229/AN229)</f>
        <v>0</v>
      </c>
      <c r="AP229" s="390">
        <f t="shared" ref="AP229:AP267" si="59">IF(AO229&lt;4.5,AP228+1,0)</f>
        <v>2</v>
      </c>
      <c r="AQ229" s="407">
        <f t="shared" ref="AQ229:AQ247" si="60">IF(AD158="Part &amp; Part",LOOKUP(AE229,AI115:AI153,AS115:AS153),0)</f>
        <v>0</v>
      </c>
      <c r="AR229" s="409"/>
      <c r="AS229" s="428">
        <f t="shared" ref="AS229:AS267" si="61">IF(AQ229=0,0,AI229)</f>
        <v>0</v>
      </c>
      <c r="AT229" s="451">
        <f t="shared" ref="AT229:AT267" si="62">IF(AQ229=0,0,AQ229/AS229)</f>
        <v>0</v>
      </c>
      <c r="AU229" s="409">
        <f t="shared" ref="AU229:AU267" si="63">IF(AT229&lt;4.5,AU228+1,0)</f>
        <v>2</v>
      </c>
    </row>
    <row r="230" spans="4:47">
      <c r="D230" s="37"/>
      <c r="F230" s="37"/>
      <c r="G230" s="37"/>
      <c r="H230" s="37"/>
      <c r="AD230" s="210" t="s">
        <v>605</v>
      </c>
      <c r="AE230" s="386">
        <f t="shared" ref="AE230:AE267" si="64">SUM(AE229+1)</f>
        <v>3</v>
      </c>
      <c r="AF230" s="450" t="e">
        <f t="shared" si="52"/>
        <v>#DIV/0!</v>
      </c>
      <c r="AG230" s="450">
        <f t="shared" si="50"/>
        <v>0</v>
      </c>
      <c r="AH230" s="450">
        <f t="shared" si="51"/>
        <v>0</v>
      </c>
      <c r="AI230" s="450">
        <f t="shared" si="53"/>
        <v>0</v>
      </c>
      <c r="AJ230" s="404" t="e">
        <f t="shared" si="54"/>
        <v>#DIV/0!</v>
      </c>
      <c r="AK230" s="386" t="e">
        <f t="shared" si="55"/>
        <v>#DIV/0!</v>
      </c>
      <c r="AL230" s="405">
        <f t="shared" si="56"/>
        <v>0</v>
      </c>
      <c r="AM230" s="390"/>
      <c r="AN230" s="405">
        <f t="shared" si="57"/>
        <v>0</v>
      </c>
      <c r="AO230" s="406">
        <f t="shared" si="58"/>
        <v>0</v>
      </c>
      <c r="AP230" s="390">
        <f t="shared" si="59"/>
        <v>3</v>
      </c>
      <c r="AQ230" s="407">
        <f t="shared" si="60"/>
        <v>0</v>
      </c>
      <c r="AR230" s="409"/>
      <c r="AS230" s="428">
        <f t="shared" si="61"/>
        <v>0</v>
      </c>
      <c r="AT230" s="451">
        <f t="shared" si="62"/>
        <v>0</v>
      </c>
      <c r="AU230" s="409">
        <f t="shared" si="63"/>
        <v>3</v>
      </c>
    </row>
    <row r="231" spans="4:47">
      <c r="D231" s="37"/>
      <c r="F231" s="37"/>
      <c r="G231" s="37"/>
      <c r="H231" s="37"/>
      <c r="L231" s="157" t="s">
        <v>537</v>
      </c>
      <c r="AD231" s="418" t="e">
        <f>LOOKUP(AD228,AE228:AE262,AJ228:AJ262)</f>
        <v>#DIV/0!</v>
      </c>
      <c r="AE231" s="386">
        <f t="shared" si="64"/>
        <v>4</v>
      </c>
      <c r="AF231" s="450" t="e">
        <f t="shared" si="52"/>
        <v>#DIV/0!</v>
      </c>
      <c r="AG231" s="450">
        <f t="shared" si="50"/>
        <v>0</v>
      </c>
      <c r="AH231" s="450">
        <f t="shared" si="51"/>
        <v>0</v>
      </c>
      <c r="AI231" s="450">
        <f t="shared" si="53"/>
        <v>0</v>
      </c>
      <c r="AJ231" s="404" t="e">
        <f t="shared" si="54"/>
        <v>#DIV/0!</v>
      </c>
      <c r="AK231" s="386" t="e">
        <f t="shared" si="55"/>
        <v>#DIV/0!</v>
      </c>
      <c r="AL231" s="405">
        <f t="shared" si="56"/>
        <v>0</v>
      </c>
      <c r="AM231" s="390"/>
      <c r="AN231" s="405">
        <f t="shared" si="57"/>
        <v>0</v>
      </c>
      <c r="AO231" s="406">
        <f t="shared" si="58"/>
        <v>0</v>
      </c>
      <c r="AP231" s="390">
        <f t="shared" si="59"/>
        <v>4</v>
      </c>
      <c r="AQ231" s="407">
        <f t="shared" si="60"/>
        <v>0</v>
      </c>
      <c r="AR231" s="409"/>
      <c r="AS231" s="428">
        <f t="shared" si="61"/>
        <v>0</v>
      </c>
      <c r="AT231" s="451">
        <f t="shared" si="62"/>
        <v>0</v>
      </c>
      <c r="AU231" s="409">
        <f t="shared" si="63"/>
        <v>4</v>
      </c>
    </row>
    <row r="232" spans="4:47">
      <c r="D232" s="37"/>
      <c r="F232" s="37"/>
      <c r="G232" s="37"/>
      <c r="H232" s="37"/>
      <c r="L232" s="156"/>
      <c r="AE232" s="386">
        <f t="shared" si="64"/>
        <v>5</v>
      </c>
      <c r="AF232" s="450" t="e">
        <f t="shared" si="52"/>
        <v>#DIV/0!</v>
      </c>
      <c r="AG232" s="450">
        <f t="shared" si="50"/>
        <v>0</v>
      </c>
      <c r="AH232" s="450">
        <f t="shared" si="51"/>
        <v>0</v>
      </c>
      <c r="AI232" s="450">
        <f t="shared" si="53"/>
        <v>0</v>
      </c>
      <c r="AJ232" s="404" t="e">
        <f t="shared" si="54"/>
        <v>#DIV/0!</v>
      </c>
      <c r="AK232" s="386" t="e">
        <f t="shared" si="55"/>
        <v>#DIV/0!</v>
      </c>
      <c r="AL232" s="405">
        <f t="shared" si="56"/>
        <v>0</v>
      </c>
      <c r="AM232" s="390"/>
      <c r="AN232" s="405">
        <f t="shared" si="57"/>
        <v>0</v>
      </c>
      <c r="AO232" s="406">
        <f t="shared" si="58"/>
        <v>0</v>
      </c>
      <c r="AP232" s="390">
        <f t="shared" si="59"/>
        <v>5</v>
      </c>
      <c r="AQ232" s="407">
        <f t="shared" si="60"/>
        <v>0</v>
      </c>
      <c r="AR232" s="409"/>
      <c r="AS232" s="428">
        <f t="shared" si="61"/>
        <v>0</v>
      </c>
      <c r="AT232" s="451">
        <f t="shared" si="62"/>
        <v>0</v>
      </c>
      <c r="AU232" s="409">
        <f t="shared" si="63"/>
        <v>5</v>
      </c>
    </row>
    <row r="233" spans="4:47">
      <c r="D233" s="37"/>
      <c r="F233" s="37"/>
      <c r="G233" s="37"/>
      <c r="H233" s="37"/>
      <c r="L233" s="156"/>
      <c r="M233" s="486" t="s">
        <v>481</v>
      </c>
      <c r="N233" s="487"/>
      <c r="O233" s="487"/>
      <c r="P233" s="487"/>
      <c r="Q233" s="487"/>
      <c r="R233" s="487"/>
      <c r="S233" s="487"/>
      <c r="T233" s="487"/>
      <c r="U233" s="488"/>
      <c r="AD233" s="213" t="s">
        <v>699</v>
      </c>
      <c r="AE233" s="386">
        <f t="shared" si="64"/>
        <v>6</v>
      </c>
      <c r="AF233" s="450" t="e">
        <f t="shared" si="52"/>
        <v>#DIV/0!</v>
      </c>
      <c r="AG233" s="450">
        <f t="shared" si="50"/>
        <v>0</v>
      </c>
      <c r="AH233" s="450">
        <f t="shared" si="51"/>
        <v>0</v>
      </c>
      <c r="AI233" s="450">
        <f t="shared" si="53"/>
        <v>0</v>
      </c>
      <c r="AJ233" s="404" t="e">
        <f t="shared" si="54"/>
        <v>#DIV/0!</v>
      </c>
      <c r="AK233" s="386" t="e">
        <f t="shared" si="55"/>
        <v>#DIV/0!</v>
      </c>
      <c r="AL233" s="405">
        <f t="shared" si="56"/>
        <v>0</v>
      </c>
      <c r="AM233" s="390"/>
      <c r="AN233" s="405">
        <f t="shared" si="57"/>
        <v>0</v>
      </c>
      <c r="AO233" s="406">
        <f t="shared" si="58"/>
        <v>0</v>
      </c>
      <c r="AP233" s="390">
        <f t="shared" si="59"/>
        <v>6</v>
      </c>
      <c r="AQ233" s="407">
        <f t="shared" si="60"/>
        <v>0</v>
      </c>
      <c r="AR233" s="409"/>
      <c r="AS233" s="428">
        <f t="shared" si="61"/>
        <v>0</v>
      </c>
      <c r="AT233" s="451">
        <f t="shared" si="62"/>
        <v>0</v>
      </c>
      <c r="AU233" s="409">
        <f t="shared" si="63"/>
        <v>6</v>
      </c>
    </row>
    <row r="234" spans="4:47">
      <c r="D234" s="37"/>
      <c r="F234" s="37"/>
      <c r="G234" s="37"/>
      <c r="H234" s="37"/>
      <c r="L234" s="156"/>
      <c r="M234" s="489"/>
      <c r="O234" s="162" t="s">
        <v>476</v>
      </c>
      <c r="P234" s="147"/>
      <c r="R234" s="162" t="s">
        <v>479</v>
      </c>
      <c r="U234" s="490"/>
      <c r="AD234" s="213" t="s">
        <v>624</v>
      </c>
      <c r="AE234" s="386">
        <f t="shared" si="64"/>
        <v>7</v>
      </c>
      <c r="AF234" s="450" t="e">
        <f t="shared" si="52"/>
        <v>#DIV/0!</v>
      </c>
      <c r="AG234" s="450">
        <f t="shared" si="50"/>
        <v>0</v>
      </c>
      <c r="AH234" s="450">
        <f t="shared" si="51"/>
        <v>0</v>
      </c>
      <c r="AI234" s="450">
        <f t="shared" si="53"/>
        <v>0</v>
      </c>
      <c r="AJ234" s="404" t="e">
        <f t="shared" si="54"/>
        <v>#DIV/0!</v>
      </c>
      <c r="AK234" s="386" t="e">
        <f t="shared" si="55"/>
        <v>#DIV/0!</v>
      </c>
      <c r="AL234" s="405">
        <f t="shared" si="56"/>
        <v>0</v>
      </c>
      <c r="AM234" s="390"/>
      <c r="AN234" s="405">
        <f t="shared" si="57"/>
        <v>0</v>
      </c>
      <c r="AO234" s="406">
        <f t="shared" si="58"/>
        <v>0</v>
      </c>
      <c r="AP234" s="390">
        <f t="shared" si="59"/>
        <v>7</v>
      </c>
      <c r="AQ234" s="407">
        <f t="shared" si="60"/>
        <v>0</v>
      </c>
      <c r="AR234" s="409"/>
      <c r="AS234" s="428">
        <f t="shared" si="61"/>
        <v>0</v>
      </c>
      <c r="AT234" s="451">
        <f t="shared" si="62"/>
        <v>0</v>
      </c>
      <c r="AU234" s="409">
        <f t="shared" si="63"/>
        <v>7</v>
      </c>
    </row>
    <row r="235" spans="4:47">
      <c r="D235" s="37"/>
      <c r="F235" s="37"/>
      <c r="G235" s="37"/>
      <c r="H235" s="37"/>
      <c r="L235" s="156"/>
      <c r="M235" s="489"/>
      <c r="O235" s="274" t="s">
        <v>480</v>
      </c>
      <c r="P235" s="147"/>
      <c r="R235" s="139" t="str">
        <f>INT($O$236/12)&amp;" years and "&amp;ROUND(MOD($O$236/12,1)*12,0)&amp;" months"</f>
        <v>0 years and 0 months</v>
      </c>
      <c r="U235" s="490"/>
      <c r="AE235" s="386">
        <f t="shared" si="64"/>
        <v>8</v>
      </c>
      <c r="AF235" s="450" t="e">
        <f t="shared" si="52"/>
        <v>#DIV/0!</v>
      </c>
      <c r="AG235" s="450">
        <f t="shared" si="50"/>
        <v>0</v>
      </c>
      <c r="AH235" s="450">
        <f t="shared" si="51"/>
        <v>0</v>
      </c>
      <c r="AI235" s="450">
        <f t="shared" si="53"/>
        <v>0</v>
      </c>
      <c r="AJ235" s="404" t="e">
        <f t="shared" si="54"/>
        <v>#DIV/0!</v>
      </c>
      <c r="AK235" s="386" t="e">
        <f t="shared" si="55"/>
        <v>#DIV/0!</v>
      </c>
      <c r="AL235" s="405">
        <f t="shared" si="56"/>
        <v>0</v>
      </c>
      <c r="AM235" s="390"/>
      <c r="AN235" s="405">
        <f t="shared" si="57"/>
        <v>0</v>
      </c>
      <c r="AO235" s="406">
        <f t="shared" si="58"/>
        <v>0</v>
      </c>
      <c r="AP235" s="390">
        <f t="shared" si="59"/>
        <v>8</v>
      </c>
      <c r="AQ235" s="407">
        <f t="shared" si="60"/>
        <v>0</v>
      </c>
      <c r="AR235" s="409"/>
      <c r="AS235" s="428">
        <f t="shared" si="61"/>
        <v>0</v>
      </c>
      <c r="AT235" s="451">
        <f t="shared" si="62"/>
        <v>0</v>
      </c>
      <c r="AU235" s="409">
        <f t="shared" si="63"/>
        <v>8</v>
      </c>
    </row>
    <row r="236" spans="4:47">
      <c r="D236" s="37"/>
      <c r="F236" s="37"/>
      <c r="G236" s="37"/>
      <c r="H236" s="37"/>
      <c r="L236" s="156"/>
      <c r="M236" s="489"/>
      <c r="O236" s="491">
        <f>NPER($AF$107/12,P242,-AF105)</f>
        <v>0</v>
      </c>
      <c r="P236" s="157"/>
      <c r="R236" s="139" t="str">
        <f>INT($O$236/12)&amp;" years and "&amp;ROUND(MOD($O$236/12,1)*11,0)&amp;" months"</f>
        <v>0 years and 0 months</v>
      </c>
      <c r="U236" s="490"/>
      <c r="AD236" s="139">
        <f>AJ204</f>
        <v>85</v>
      </c>
      <c r="AE236" s="386">
        <f t="shared" si="64"/>
        <v>9</v>
      </c>
      <c r="AF236" s="450" t="e">
        <f t="shared" si="52"/>
        <v>#DIV/0!</v>
      </c>
      <c r="AG236" s="450">
        <f t="shared" si="50"/>
        <v>0</v>
      </c>
      <c r="AH236" s="450">
        <f t="shared" si="51"/>
        <v>0</v>
      </c>
      <c r="AI236" s="450">
        <f t="shared" si="53"/>
        <v>0</v>
      </c>
      <c r="AJ236" s="404" t="e">
        <f t="shared" si="54"/>
        <v>#DIV/0!</v>
      </c>
      <c r="AK236" s="386" t="e">
        <f t="shared" si="55"/>
        <v>#DIV/0!</v>
      </c>
      <c r="AL236" s="405">
        <f t="shared" si="56"/>
        <v>0</v>
      </c>
      <c r="AM236" s="390"/>
      <c r="AN236" s="405">
        <f t="shared" si="57"/>
        <v>0</v>
      </c>
      <c r="AO236" s="406">
        <f t="shared" si="58"/>
        <v>0</v>
      </c>
      <c r="AP236" s="390">
        <f t="shared" si="59"/>
        <v>9</v>
      </c>
      <c r="AQ236" s="407">
        <f t="shared" si="60"/>
        <v>0</v>
      </c>
      <c r="AR236" s="409"/>
      <c r="AS236" s="428">
        <f t="shared" si="61"/>
        <v>0</v>
      </c>
      <c r="AT236" s="451">
        <f t="shared" si="62"/>
        <v>0</v>
      </c>
      <c r="AU236" s="409">
        <f t="shared" si="63"/>
        <v>9</v>
      </c>
    </row>
    <row r="237" spans="4:47">
      <c r="D237" s="37"/>
      <c r="F237" s="37"/>
      <c r="G237" s="37"/>
      <c r="H237" s="37"/>
      <c r="L237" s="156"/>
      <c r="M237" s="489"/>
      <c r="U237" s="490"/>
      <c r="AE237" s="386">
        <f t="shared" si="64"/>
        <v>10</v>
      </c>
      <c r="AF237" s="450" t="e">
        <f t="shared" si="52"/>
        <v>#DIV/0!</v>
      </c>
      <c r="AG237" s="450">
        <f t="shared" si="50"/>
        <v>0</v>
      </c>
      <c r="AH237" s="450">
        <f t="shared" si="51"/>
        <v>0</v>
      </c>
      <c r="AI237" s="450">
        <f t="shared" si="53"/>
        <v>0</v>
      </c>
      <c r="AJ237" s="404" t="e">
        <f t="shared" si="54"/>
        <v>#DIV/0!</v>
      </c>
      <c r="AK237" s="386" t="e">
        <f t="shared" si="55"/>
        <v>#DIV/0!</v>
      </c>
      <c r="AL237" s="405">
        <f t="shared" si="56"/>
        <v>0</v>
      </c>
      <c r="AM237" s="390"/>
      <c r="AN237" s="405">
        <f t="shared" si="57"/>
        <v>0</v>
      </c>
      <c r="AO237" s="406">
        <f t="shared" si="58"/>
        <v>0</v>
      </c>
      <c r="AP237" s="390">
        <f t="shared" si="59"/>
        <v>10</v>
      </c>
      <c r="AQ237" s="407">
        <f t="shared" si="60"/>
        <v>0</v>
      </c>
      <c r="AR237" s="409"/>
      <c r="AS237" s="428">
        <f t="shared" si="61"/>
        <v>0</v>
      </c>
      <c r="AT237" s="451">
        <f t="shared" si="62"/>
        <v>0</v>
      </c>
      <c r="AU237" s="409">
        <f t="shared" si="63"/>
        <v>10</v>
      </c>
    </row>
    <row r="238" spans="4:47">
      <c r="D238" s="37"/>
      <c r="F238" s="37"/>
      <c r="G238" s="37"/>
      <c r="H238" s="37"/>
      <c r="L238" s="156"/>
      <c r="M238" s="492" t="s">
        <v>476</v>
      </c>
      <c r="N238" s="493"/>
      <c r="O238" s="494"/>
      <c r="U238" s="490"/>
      <c r="AD238" s="210" t="s">
        <v>605</v>
      </c>
      <c r="AE238" s="386">
        <f t="shared" si="64"/>
        <v>11</v>
      </c>
      <c r="AF238" s="450" t="e">
        <f t="shared" si="52"/>
        <v>#DIV/0!</v>
      </c>
      <c r="AG238" s="450">
        <f t="shared" si="50"/>
        <v>0</v>
      </c>
      <c r="AH238" s="450">
        <f t="shared" si="51"/>
        <v>0</v>
      </c>
      <c r="AI238" s="450">
        <f t="shared" si="53"/>
        <v>0</v>
      </c>
      <c r="AJ238" s="404" t="e">
        <f t="shared" si="54"/>
        <v>#DIV/0!</v>
      </c>
      <c r="AK238" s="386" t="e">
        <f t="shared" si="55"/>
        <v>#DIV/0!</v>
      </c>
      <c r="AL238" s="405">
        <f t="shared" si="56"/>
        <v>0</v>
      </c>
      <c r="AM238" s="390"/>
      <c r="AN238" s="405">
        <f t="shared" si="57"/>
        <v>0</v>
      </c>
      <c r="AO238" s="406">
        <f t="shared" si="58"/>
        <v>0</v>
      </c>
      <c r="AP238" s="390">
        <f t="shared" si="59"/>
        <v>11</v>
      </c>
      <c r="AQ238" s="407">
        <f t="shared" si="60"/>
        <v>0</v>
      </c>
      <c r="AR238" s="409"/>
      <c r="AS238" s="428">
        <f t="shared" si="61"/>
        <v>0</v>
      </c>
      <c r="AT238" s="451">
        <f t="shared" si="62"/>
        <v>0</v>
      </c>
      <c r="AU238" s="409">
        <f t="shared" si="63"/>
        <v>11</v>
      </c>
    </row>
    <row r="239" spans="4:47">
      <c r="D239" s="37"/>
      <c r="F239" s="37"/>
      <c r="G239" s="37"/>
      <c r="H239" s="37"/>
      <c r="L239" s="156"/>
      <c r="M239" s="495" t="s">
        <v>26</v>
      </c>
      <c r="N239" s="496" t="s">
        <v>26</v>
      </c>
      <c r="O239" s="496"/>
      <c r="U239" s="490"/>
      <c r="AD239" s="418">
        <f>LOOKUP(AD236,AE228:AE262,AO228:AO262)</f>
        <v>0</v>
      </c>
      <c r="AE239" s="386">
        <f t="shared" si="64"/>
        <v>12</v>
      </c>
      <c r="AF239" s="450" t="e">
        <f t="shared" si="52"/>
        <v>#DIV/0!</v>
      </c>
      <c r="AG239" s="450">
        <f t="shared" si="50"/>
        <v>0</v>
      </c>
      <c r="AH239" s="450">
        <f t="shared" si="51"/>
        <v>0</v>
      </c>
      <c r="AI239" s="450">
        <f t="shared" si="53"/>
        <v>0</v>
      </c>
      <c r="AJ239" s="404" t="e">
        <f t="shared" si="54"/>
        <v>#DIV/0!</v>
      </c>
      <c r="AK239" s="386" t="e">
        <f t="shared" si="55"/>
        <v>#DIV/0!</v>
      </c>
      <c r="AL239" s="405">
        <f t="shared" si="56"/>
        <v>0</v>
      </c>
      <c r="AM239" s="390"/>
      <c r="AN239" s="405">
        <f t="shared" si="57"/>
        <v>0</v>
      </c>
      <c r="AO239" s="406">
        <f t="shared" si="58"/>
        <v>0</v>
      </c>
      <c r="AP239" s="390">
        <f t="shared" si="59"/>
        <v>12</v>
      </c>
      <c r="AQ239" s="407">
        <f t="shared" si="60"/>
        <v>0</v>
      </c>
      <c r="AR239" s="409"/>
      <c r="AS239" s="428">
        <f t="shared" si="61"/>
        <v>0</v>
      </c>
      <c r="AT239" s="451">
        <f t="shared" si="62"/>
        <v>0</v>
      </c>
      <c r="AU239" s="409">
        <f t="shared" si="63"/>
        <v>12</v>
      </c>
    </row>
    <row r="240" spans="4:47">
      <c r="D240" s="37"/>
      <c r="F240" s="37"/>
      <c r="G240" s="37"/>
      <c r="H240" s="37"/>
      <c r="L240" s="156"/>
      <c r="M240" s="497" t="s">
        <v>477</v>
      </c>
      <c r="U240" s="490"/>
      <c r="AE240" s="386">
        <f t="shared" si="64"/>
        <v>13</v>
      </c>
      <c r="AF240" s="450" t="e">
        <f t="shared" si="52"/>
        <v>#DIV/0!</v>
      </c>
      <c r="AG240" s="450">
        <f t="shared" si="50"/>
        <v>0</v>
      </c>
      <c r="AH240" s="450">
        <f t="shared" si="51"/>
        <v>0</v>
      </c>
      <c r="AI240" s="450">
        <f t="shared" si="53"/>
        <v>0</v>
      </c>
      <c r="AJ240" s="404" t="e">
        <f t="shared" si="54"/>
        <v>#DIV/0!</v>
      </c>
      <c r="AK240" s="386" t="e">
        <f t="shared" si="55"/>
        <v>#DIV/0!</v>
      </c>
      <c r="AL240" s="405">
        <f t="shared" si="56"/>
        <v>0</v>
      </c>
      <c r="AM240" s="390"/>
      <c r="AN240" s="405">
        <f t="shared" si="57"/>
        <v>0</v>
      </c>
      <c r="AO240" s="406">
        <f t="shared" si="58"/>
        <v>0</v>
      </c>
      <c r="AP240" s="390">
        <f t="shared" si="59"/>
        <v>13</v>
      </c>
      <c r="AQ240" s="407">
        <f t="shared" si="60"/>
        <v>0</v>
      </c>
      <c r="AR240" s="409"/>
      <c r="AS240" s="428">
        <f t="shared" si="61"/>
        <v>0</v>
      </c>
      <c r="AT240" s="451">
        <f t="shared" si="62"/>
        <v>0</v>
      </c>
      <c r="AU240" s="409">
        <f t="shared" si="63"/>
        <v>13</v>
      </c>
    </row>
    <row r="241" spans="4:47">
      <c r="D241" s="37"/>
      <c r="F241" s="37"/>
      <c r="G241" s="37"/>
      <c r="H241" s="37"/>
      <c r="L241" s="156"/>
      <c r="M241" s="498"/>
      <c r="U241" s="490"/>
      <c r="AE241" s="386">
        <f t="shared" si="64"/>
        <v>14</v>
      </c>
      <c r="AF241" s="450" t="e">
        <f t="shared" si="52"/>
        <v>#DIV/0!</v>
      </c>
      <c r="AG241" s="450">
        <f t="shared" si="50"/>
        <v>0</v>
      </c>
      <c r="AH241" s="450">
        <f t="shared" si="51"/>
        <v>0</v>
      </c>
      <c r="AI241" s="450">
        <f t="shared" si="53"/>
        <v>0</v>
      </c>
      <c r="AJ241" s="404" t="e">
        <f t="shared" si="54"/>
        <v>#DIV/0!</v>
      </c>
      <c r="AK241" s="386" t="e">
        <f t="shared" si="55"/>
        <v>#DIV/0!</v>
      </c>
      <c r="AL241" s="405">
        <f>(IF(AD171="Interest-only",LOOKUP(AE241,AI127:AI165,AO127:AO165),0))</f>
        <v>0</v>
      </c>
      <c r="AM241" s="390"/>
      <c r="AN241" s="405">
        <f t="shared" si="57"/>
        <v>0</v>
      </c>
      <c r="AO241" s="406">
        <f t="shared" si="58"/>
        <v>0</v>
      </c>
      <c r="AP241" s="390">
        <f t="shared" si="59"/>
        <v>14</v>
      </c>
      <c r="AQ241" s="407">
        <f>IF(AD171="Part &amp; Part",LOOKUP(AE241,AI127:AI165,AS127:AS165),0)</f>
        <v>0</v>
      </c>
      <c r="AR241" s="409"/>
      <c r="AS241" s="428">
        <f t="shared" si="61"/>
        <v>0</v>
      </c>
      <c r="AT241" s="451">
        <f t="shared" si="62"/>
        <v>0</v>
      </c>
      <c r="AU241" s="409">
        <f t="shared" si="63"/>
        <v>14</v>
      </c>
    </row>
    <row r="242" spans="4:47">
      <c r="D242" s="37"/>
      <c r="F242" s="37"/>
      <c r="G242" s="37"/>
      <c r="H242" s="37"/>
      <c r="L242" s="156"/>
      <c r="M242" s="489" t="s">
        <v>464</v>
      </c>
      <c r="P242" s="499">
        <v>1400</v>
      </c>
      <c r="U242" s="490"/>
      <c r="AE242" s="386">
        <f t="shared" si="64"/>
        <v>15</v>
      </c>
      <c r="AF242" s="450" t="e">
        <f t="shared" si="52"/>
        <v>#DIV/0!</v>
      </c>
      <c r="AG242" s="450">
        <f t="shared" si="50"/>
        <v>0</v>
      </c>
      <c r="AH242" s="450">
        <f t="shared" si="51"/>
        <v>0</v>
      </c>
      <c r="AI242" s="450">
        <f t="shared" si="53"/>
        <v>0</v>
      </c>
      <c r="AJ242" s="404" t="e">
        <f t="shared" si="54"/>
        <v>#DIV/0!</v>
      </c>
      <c r="AK242" s="386" t="e">
        <f t="shared" si="55"/>
        <v>#DIV/0!</v>
      </c>
      <c r="AL242" s="405" t="e">
        <f>(IF(#REF!="Interest-only",LOOKUP(AE242,AI128:AI166,AO128:AO166),0))</f>
        <v>#REF!</v>
      </c>
      <c r="AM242" s="390"/>
      <c r="AN242" s="405" t="e">
        <f t="shared" si="57"/>
        <v>#REF!</v>
      </c>
      <c r="AO242" s="406" t="e">
        <f t="shared" si="58"/>
        <v>#REF!</v>
      </c>
      <c r="AP242" s="390" t="e">
        <f t="shared" si="59"/>
        <v>#REF!</v>
      </c>
      <c r="AQ242" s="407" t="e">
        <f>IF(#REF!="Part &amp; Part",LOOKUP(AE242,AI128:AI166,AS128:AS166),0)</f>
        <v>#REF!</v>
      </c>
      <c r="AR242" s="409"/>
      <c r="AS242" s="428" t="e">
        <f t="shared" si="61"/>
        <v>#REF!</v>
      </c>
      <c r="AT242" s="451" t="e">
        <f t="shared" si="62"/>
        <v>#REF!</v>
      </c>
      <c r="AU242" s="409" t="e">
        <f t="shared" si="63"/>
        <v>#REF!</v>
      </c>
    </row>
    <row r="243" spans="4:47">
      <c r="D243" s="37"/>
      <c r="F243" s="37"/>
      <c r="G243" s="37"/>
      <c r="H243" s="37"/>
      <c r="L243" s="156"/>
      <c r="M243" s="498"/>
      <c r="U243" s="490"/>
      <c r="AE243" s="386">
        <f t="shared" si="64"/>
        <v>16</v>
      </c>
      <c r="AF243" s="450" t="e">
        <f t="shared" si="52"/>
        <v>#DIV/0!</v>
      </c>
      <c r="AG243" s="450">
        <f t="shared" si="50"/>
        <v>0</v>
      </c>
      <c r="AH243" s="450">
        <f t="shared" si="51"/>
        <v>0</v>
      </c>
      <c r="AI243" s="450">
        <f t="shared" si="53"/>
        <v>0</v>
      </c>
      <c r="AJ243" s="404" t="e">
        <f t="shared" si="54"/>
        <v>#DIV/0!</v>
      </c>
      <c r="AK243" s="386" t="e">
        <f t="shared" si="55"/>
        <v>#DIV/0!</v>
      </c>
      <c r="AL243" s="405">
        <f t="shared" si="56"/>
        <v>0</v>
      </c>
      <c r="AM243" s="390"/>
      <c r="AN243" s="405">
        <f t="shared" si="57"/>
        <v>0</v>
      </c>
      <c r="AO243" s="406">
        <f t="shared" si="58"/>
        <v>0</v>
      </c>
      <c r="AP243" s="390" t="e">
        <f t="shared" si="59"/>
        <v>#REF!</v>
      </c>
      <c r="AQ243" s="407">
        <f t="shared" si="60"/>
        <v>0</v>
      </c>
      <c r="AR243" s="409"/>
      <c r="AS243" s="428">
        <f t="shared" si="61"/>
        <v>0</v>
      </c>
      <c r="AT243" s="451">
        <f t="shared" si="62"/>
        <v>0</v>
      </c>
      <c r="AU243" s="409" t="e">
        <f t="shared" si="63"/>
        <v>#REF!</v>
      </c>
    </row>
    <row r="244" spans="4:47">
      <c r="D244" s="37"/>
      <c r="F244" s="37"/>
      <c r="G244" s="37"/>
      <c r="H244" s="37"/>
      <c r="L244" s="156"/>
      <c r="M244" s="489" t="s">
        <v>465</v>
      </c>
      <c r="O244" s="139" t="str">
        <f>IF(ROUND($O$236-((ROUND($O$236/12,0)*12)),0)&lt;0,ROUND($O$236/12,0)-1&amp;" years and "&amp;ROUND($O$236-(((ROUND($O$236/12,0)-1)*12)),0)&amp;" months",ROUND($O$236/12,0)&amp;" years and "&amp;ROUND($O$236-((ROUND($O$236/12,0)*12)),0)&amp;" months")</f>
        <v>0 years and 0 months</v>
      </c>
      <c r="U244" s="490"/>
      <c r="AE244" s="386">
        <f t="shared" si="64"/>
        <v>17</v>
      </c>
      <c r="AF244" s="450" t="e">
        <f t="shared" si="52"/>
        <v>#DIV/0!</v>
      </c>
      <c r="AG244" s="450">
        <f t="shared" si="50"/>
        <v>0</v>
      </c>
      <c r="AH244" s="450">
        <f t="shared" si="51"/>
        <v>0</v>
      </c>
      <c r="AI244" s="450">
        <f t="shared" si="53"/>
        <v>0</v>
      </c>
      <c r="AJ244" s="404" t="e">
        <f t="shared" si="54"/>
        <v>#DIV/0!</v>
      </c>
      <c r="AK244" s="386" t="e">
        <f t="shared" si="55"/>
        <v>#DIV/0!</v>
      </c>
      <c r="AL244" s="405">
        <f t="shared" si="56"/>
        <v>0</v>
      </c>
      <c r="AM244" s="390"/>
      <c r="AN244" s="405">
        <f t="shared" si="57"/>
        <v>0</v>
      </c>
      <c r="AO244" s="406">
        <f t="shared" si="58"/>
        <v>0</v>
      </c>
      <c r="AP244" s="390" t="e">
        <f t="shared" si="59"/>
        <v>#REF!</v>
      </c>
      <c r="AQ244" s="407">
        <f t="shared" si="60"/>
        <v>0</v>
      </c>
      <c r="AR244" s="409"/>
      <c r="AS244" s="428">
        <f t="shared" si="61"/>
        <v>0</v>
      </c>
      <c r="AT244" s="451">
        <f t="shared" si="62"/>
        <v>0</v>
      </c>
      <c r="AU244" s="409" t="e">
        <f t="shared" si="63"/>
        <v>#REF!</v>
      </c>
    </row>
    <row r="245" spans="4:47">
      <c r="D245" s="37"/>
      <c r="F245" s="37"/>
      <c r="G245" s="37"/>
      <c r="H245" s="37"/>
      <c r="L245" s="156"/>
      <c r="M245" s="500"/>
      <c r="N245" s="157"/>
      <c r="U245" s="490"/>
      <c r="AE245" s="386">
        <f t="shared" si="64"/>
        <v>18</v>
      </c>
      <c r="AF245" s="450" t="e">
        <f t="shared" si="52"/>
        <v>#DIV/0!</v>
      </c>
      <c r="AG245" s="450">
        <f t="shared" si="50"/>
        <v>0</v>
      </c>
      <c r="AH245" s="450">
        <f t="shared" si="51"/>
        <v>0</v>
      </c>
      <c r="AI245" s="450">
        <f t="shared" si="53"/>
        <v>0</v>
      </c>
      <c r="AJ245" s="404" t="e">
        <f t="shared" si="54"/>
        <v>#DIV/0!</v>
      </c>
      <c r="AK245" s="386" t="e">
        <f t="shared" si="55"/>
        <v>#DIV/0!</v>
      </c>
      <c r="AL245" s="405">
        <f t="shared" si="56"/>
        <v>0</v>
      </c>
      <c r="AM245" s="390"/>
      <c r="AN245" s="405">
        <f t="shared" si="57"/>
        <v>0</v>
      </c>
      <c r="AO245" s="406">
        <f t="shared" si="58"/>
        <v>0</v>
      </c>
      <c r="AP245" s="390" t="e">
        <f t="shared" si="59"/>
        <v>#REF!</v>
      </c>
      <c r="AQ245" s="407">
        <f t="shared" si="60"/>
        <v>0</v>
      </c>
      <c r="AR245" s="409"/>
      <c r="AS245" s="428">
        <f t="shared" si="61"/>
        <v>0</v>
      </c>
      <c r="AT245" s="451">
        <f t="shared" si="62"/>
        <v>0</v>
      </c>
      <c r="AU245" s="409" t="e">
        <f t="shared" si="63"/>
        <v>#REF!</v>
      </c>
    </row>
    <row r="246" spans="4:47">
      <c r="D246" s="37"/>
      <c r="F246" s="37"/>
      <c r="G246" s="37"/>
      <c r="H246" s="37"/>
      <c r="L246" s="156"/>
      <c r="M246" s="489" t="e">
        <f>'Support borrower Affordability'!$K$142</f>
        <v>#DIV/0!</v>
      </c>
      <c r="P246" s="501" t="e">
        <f>'Support borrower Affordability'!$N$142</f>
        <v>#DIV/0!</v>
      </c>
      <c r="R246" s="159" t="s">
        <v>462</v>
      </c>
      <c r="T246" s="502" t="e">
        <f>'Support borrower Affordability'!$Q$143</f>
        <v>#DIV/0!</v>
      </c>
      <c r="U246" s="26" t="e">
        <f>'Support borrower Affordability'!R143</f>
        <v>#DIV/0!</v>
      </c>
      <c r="V246" s="41"/>
      <c r="AE246" s="386">
        <f t="shared" si="64"/>
        <v>19</v>
      </c>
      <c r="AF246" s="450" t="e">
        <f t="shared" si="52"/>
        <v>#DIV/0!</v>
      </c>
      <c r="AG246" s="450">
        <f t="shared" si="50"/>
        <v>0</v>
      </c>
      <c r="AH246" s="450">
        <f t="shared" si="51"/>
        <v>0</v>
      </c>
      <c r="AI246" s="450">
        <f t="shared" si="53"/>
        <v>0</v>
      </c>
      <c r="AJ246" s="404" t="e">
        <f t="shared" si="54"/>
        <v>#DIV/0!</v>
      </c>
      <c r="AK246" s="386" t="e">
        <f t="shared" si="55"/>
        <v>#DIV/0!</v>
      </c>
      <c r="AL246" s="405">
        <f t="shared" si="56"/>
        <v>0</v>
      </c>
      <c r="AM246" s="390"/>
      <c r="AN246" s="405">
        <f t="shared" si="57"/>
        <v>0</v>
      </c>
      <c r="AO246" s="406">
        <f t="shared" si="58"/>
        <v>0</v>
      </c>
      <c r="AP246" s="390" t="e">
        <f t="shared" si="59"/>
        <v>#REF!</v>
      </c>
      <c r="AQ246" s="407">
        <f t="shared" si="60"/>
        <v>0</v>
      </c>
      <c r="AR246" s="409"/>
      <c r="AS246" s="428">
        <f t="shared" si="61"/>
        <v>0</v>
      </c>
      <c r="AT246" s="451">
        <f t="shared" si="62"/>
        <v>0</v>
      </c>
      <c r="AU246" s="409" t="e">
        <f t="shared" si="63"/>
        <v>#REF!</v>
      </c>
    </row>
    <row r="247" spans="4:47">
      <c r="D247" s="37"/>
      <c r="F247" s="37"/>
      <c r="G247" s="37"/>
      <c r="H247" s="37"/>
      <c r="L247" s="156"/>
      <c r="M247" s="497" t="s">
        <v>461</v>
      </c>
      <c r="P247" s="503" t="e">
        <f>'Support borrower Affordability'!$N$143</f>
        <v>#DIV/0!</v>
      </c>
      <c r="Q247" s="147"/>
      <c r="R247" s="147"/>
      <c r="S247" s="147"/>
      <c r="U247" s="490"/>
      <c r="AE247" s="386">
        <f t="shared" si="64"/>
        <v>20</v>
      </c>
      <c r="AF247" s="450" t="e">
        <f t="shared" si="52"/>
        <v>#DIV/0!</v>
      </c>
      <c r="AG247" s="450">
        <f t="shared" si="50"/>
        <v>0</v>
      </c>
      <c r="AH247" s="450">
        <f t="shared" si="51"/>
        <v>0</v>
      </c>
      <c r="AI247" s="450">
        <f t="shared" si="53"/>
        <v>0</v>
      </c>
      <c r="AJ247" s="404" t="e">
        <f t="shared" si="54"/>
        <v>#DIV/0!</v>
      </c>
      <c r="AK247" s="386" t="e">
        <f t="shared" si="55"/>
        <v>#DIV/0!</v>
      </c>
      <c r="AL247" s="405">
        <f t="shared" si="56"/>
        <v>0</v>
      </c>
      <c r="AM247" s="390"/>
      <c r="AN247" s="405">
        <f t="shared" si="57"/>
        <v>0</v>
      </c>
      <c r="AO247" s="406">
        <f t="shared" si="58"/>
        <v>0</v>
      </c>
      <c r="AP247" s="390" t="e">
        <f t="shared" si="59"/>
        <v>#REF!</v>
      </c>
      <c r="AQ247" s="407">
        <f t="shared" si="60"/>
        <v>0</v>
      </c>
      <c r="AR247" s="409"/>
      <c r="AS247" s="428">
        <f t="shared" si="61"/>
        <v>0</v>
      </c>
      <c r="AT247" s="451">
        <f t="shared" si="62"/>
        <v>0</v>
      </c>
      <c r="AU247" s="409" t="e">
        <f t="shared" si="63"/>
        <v>#REF!</v>
      </c>
    </row>
    <row r="248" spans="4:47">
      <c r="D248" s="37"/>
      <c r="F248" s="37"/>
      <c r="G248" s="37"/>
      <c r="H248" s="37"/>
      <c r="L248" s="156"/>
      <c r="M248" s="489"/>
      <c r="O248" s="159"/>
      <c r="Q248" s="139" t="str">
        <f>'Support borrower Affordability'!O145</f>
        <v>*Max. Income Multiple 3.5 x as reliant on income of at least one Family member age 80 or over</v>
      </c>
      <c r="R248" s="147"/>
      <c r="S248" s="147"/>
      <c r="U248" s="504" t="s">
        <v>26</v>
      </c>
      <c r="V248" s="159"/>
      <c r="AE248" s="386">
        <f t="shared" si="64"/>
        <v>21</v>
      </c>
      <c r="AF248" s="450" t="e">
        <f t="shared" si="52"/>
        <v>#DIV/0!</v>
      </c>
      <c r="AG248" s="450">
        <f t="shared" si="50"/>
        <v>0</v>
      </c>
      <c r="AH248" s="450">
        <f t="shared" si="51"/>
        <v>0</v>
      </c>
      <c r="AI248" s="450">
        <f t="shared" si="53"/>
        <v>0</v>
      </c>
      <c r="AJ248" s="404" t="e">
        <f t="shared" si="54"/>
        <v>#DIV/0!</v>
      </c>
      <c r="AK248" s="386" t="e">
        <f t="shared" si="55"/>
        <v>#DIV/0!</v>
      </c>
      <c r="AL248" s="405">
        <f t="shared" si="56"/>
        <v>0</v>
      </c>
      <c r="AM248" s="390"/>
      <c r="AN248" s="405">
        <f t="shared" si="57"/>
        <v>0</v>
      </c>
      <c r="AO248" s="406">
        <f t="shared" si="58"/>
        <v>0</v>
      </c>
      <c r="AP248" s="390" t="e">
        <f t="shared" si="59"/>
        <v>#REF!</v>
      </c>
      <c r="AQ248" s="407">
        <f>IF(AD177="Part &amp; Part",LOOKUP(AE248,AI134:AI172,AS134:AS171),0)</f>
        <v>0</v>
      </c>
      <c r="AR248" s="409"/>
      <c r="AS248" s="428">
        <f t="shared" si="61"/>
        <v>0</v>
      </c>
      <c r="AT248" s="451">
        <f t="shared" si="62"/>
        <v>0</v>
      </c>
      <c r="AU248" s="409" t="e">
        <f t="shared" si="63"/>
        <v>#REF!</v>
      </c>
    </row>
    <row r="249" spans="4:47">
      <c r="D249" s="37"/>
      <c r="F249" s="37"/>
      <c r="G249" s="37"/>
      <c r="H249" s="37"/>
      <c r="L249" s="156"/>
      <c r="M249" s="489"/>
      <c r="N249" s="159" t="str">
        <f>IF(U250=4.5,"UNDER 80",IF(U250=3.5,"OVER 80"))</f>
        <v>OVER 80</v>
      </c>
      <c r="O249" s="159"/>
      <c r="U249" s="490"/>
      <c r="AE249" s="386">
        <f t="shared" si="64"/>
        <v>22</v>
      </c>
      <c r="AF249" s="450" t="e">
        <f t="shared" si="52"/>
        <v>#DIV/0!</v>
      </c>
      <c r="AG249" s="450">
        <f t="shared" si="50"/>
        <v>0</v>
      </c>
      <c r="AH249" s="450">
        <f t="shared" si="51"/>
        <v>0</v>
      </c>
      <c r="AI249" s="450">
        <f t="shared" si="53"/>
        <v>0</v>
      </c>
      <c r="AJ249" s="404" t="e">
        <f t="shared" si="54"/>
        <v>#DIV/0!</v>
      </c>
      <c r="AK249" s="386" t="e">
        <f t="shared" si="55"/>
        <v>#DIV/0!</v>
      </c>
      <c r="AL249" s="405">
        <f t="shared" si="56"/>
        <v>0</v>
      </c>
      <c r="AM249" s="390"/>
      <c r="AN249" s="405">
        <f t="shared" si="57"/>
        <v>0</v>
      </c>
      <c r="AO249" s="406">
        <f t="shared" si="58"/>
        <v>0</v>
      </c>
      <c r="AP249" s="390" t="e">
        <f t="shared" si="59"/>
        <v>#REF!</v>
      </c>
      <c r="AQ249" s="407">
        <f>IF(AD178="Part &amp; Part",LOOKUP(AE249,AI135:AI173,AS135:AS171),0)</f>
        <v>0</v>
      </c>
      <c r="AR249" s="409"/>
      <c r="AS249" s="428">
        <f t="shared" si="61"/>
        <v>0</v>
      </c>
      <c r="AT249" s="451">
        <f t="shared" si="62"/>
        <v>0</v>
      </c>
      <c r="AU249" s="409" t="e">
        <f t="shared" si="63"/>
        <v>#REF!</v>
      </c>
    </row>
    <row r="250" spans="4:47">
      <c r="D250" s="37"/>
      <c r="F250" s="37"/>
      <c r="G250" s="37"/>
      <c r="H250" s="37"/>
      <c r="L250" s="156"/>
      <c r="M250" s="497"/>
      <c r="O250" s="159"/>
      <c r="S250" s="275" t="s">
        <v>478</v>
      </c>
      <c r="T250" s="277"/>
      <c r="U250" s="276">
        <f>'Support borrower Affordability'!O122</f>
        <v>3.5</v>
      </c>
      <c r="V250" s="382"/>
      <c r="AE250" s="386">
        <f t="shared" si="64"/>
        <v>23</v>
      </c>
      <c r="AF250" s="450" t="e">
        <f t="shared" si="52"/>
        <v>#DIV/0!</v>
      </c>
      <c r="AG250" s="450">
        <f t="shared" si="50"/>
        <v>0</v>
      </c>
      <c r="AH250" s="450">
        <f t="shared" si="51"/>
        <v>0</v>
      </c>
      <c r="AI250" s="450">
        <f t="shared" si="53"/>
        <v>0</v>
      </c>
      <c r="AJ250" s="404" t="e">
        <f t="shared" si="54"/>
        <v>#DIV/0!</v>
      </c>
      <c r="AK250" s="386" t="e">
        <f t="shared" si="55"/>
        <v>#DIV/0!</v>
      </c>
      <c r="AL250" s="405">
        <f t="shared" si="56"/>
        <v>0</v>
      </c>
      <c r="AM250" s="390"/>
      <c r="AN250" s="405">
        <f t="shared" si="57"/>
        <v>0</v>
      </c>
      <c r="AO250" s="406">
        <f t="shared" si="58"/>
        <v>0</v>
      </c>
      <c r="AP250" s="390" t="e">
        <f t="shared" si="59"/>
        <v>#REF!</v>
      </c>
      <c r="AQ250" s="407">
        <f>IF(AD179="Part &amp; Part",LOOKUP(AE250,AI136:AI174,AS136:AS171),0)</f>
        <v>0</v>
      </c>
      <c r="AR250" s="409"/>
      <c r="AS250" s="428">
        <f t="shared" si="61"/>
        <v>0</v>
      </c>
      <c r="AT250" s="451">
        <f t="shared" si="62"/>
        <v>0</v>
      </c>
      <c r="AU250" s="409" t="e">
        <f t="shared" si="63"/>
        <v>#REF!</v>
      </c>
    </row>
    <row r="251" spans="4:47">
      <c r="D251" s="37"/>
      <c r="F251" s="37"/>
      <c r="G251" s="37"/>
      <c r="H251" s="37"/>
      <c r="L251" s="156"/>
      <c r="M251" s="497"/>
      <c r="O251" s="159"/>
      <c r="U251" s="490"/>
      <c r="AE251" s="386">
        <f t="shared" si="64"/>
        <v>24</v>
      </c>
      <c r="AF251" s="450" t="e">
        <f t="shared" si="52"/>
        <v>#DIV/0!</v>
      </c>
      <c r="AG251" s="450">
        <f t="shared" si="50"/>
        <v>0</v>
      </c>
      <c r="AH251" s="450">
        <f t="shared" si="51"/>
        <v>0</v>
      </c>
      <c r="AI251" s="450">
        <f t="shared" si="53"/>
        <v>0</v>
      </c>
      <c r="AJ251" s="404" t="e">
        <f t="shared" si="54"/>
        <v>#DIV/0!</v>
      </c>
      <c r="AK251" s="386" t="e">
        <f t="shared" si="55"/>
        <v>#DIV/0!</v>
      </c>
      <c r="AL251" s="405">
        <f t="shared" si="56"/>
        <v>0</v>
      </c>
      <c r="AM251" s="390"/>
      <c r="AN251" s="405">
        <f t="shared" si="57"/>
        <v>0</v>
      </c>
      <c r="AO251" s="406">
        <f t="shared" si="58"/>
        <v>0</v>
      </c>
      <c r="AP251" s="390" t="e">
        <f t="shared" si="59"/>
        <v>#REF!</v>
      </c>
      <c r="AQ251" s="407">
        <f>IF(AD180="Part &amp; Part",LOOKUP(AE251,AI137:AI175,AS137:AS171),0)</f>
        <v>0</v>
      </c>
      <c r="AR251" s="409"/>
      <c r="AS251" s="428">
        <f t="shared" si="61"/>
        <v>0</v>
      </c>
      <c r="AT251" s="451">
        <f t="shared" si="62"/>
        <v>0</v>
      </c>
      <c r="AU251" s="409" t="e">
        <f t="shared" si="63"/>
        <v>#REF!</v>
      </c>
    </row>
    <row r="252" spans="4:47">
      <c r="D252" s="37"/>
      <c r="F252" s="37"/>
      <c r="G252" s="37"/>
      <c r="H252" s="37"/>
      <c r="L252" s="156"/>
      <c r="M252" s="500" t="s">
        <v>451</v>
      </c>
      <c r="P252" s="501"/>
      <c r="S252" s="1270" t="s">
        <v>447</v>
      </c>
      <c r="T252" s="1271"/>
      <c r="U252" s="1272"/>
      <c r="V252" s="710"/>
      <c r="AE252" s="386">
        <f t="shared" si="64"/>
        <v>25</v>
      </c>
      <c r="AF252" s="450" t="e">
        <f t="shared" si="52"/>
        <v>#DIV/0!</v>
      </c>
      <c r="AG252" s="450">
        <f t="shared" si="50"/>
        <v>0</v>
      </c>
      <c r="AH252" s="450">
        <f t="shared" si="51"/>
        <v>0</v>
      </c>
      <c r="AI252" s="450">
        <f t="shared" si="53"/>
        <v>0</v>
      </c>
      <c r="AJ252" s="404" t="e">
        <f t="shared" si="54"/>
        <v>#DIV/0!</v>
      </c>
      <c r="AK252" s="386" t="e">
        <f t="shared" si="55"/>
        <v>#DIV/0!</v>
      </c>
      <c r="AL252" s="405">
        <f t="shared" si="56"/>
        <v>0</v>
      </c>
      <c r="AM252" s="390"/>
      <c r="AN252" s="405">
        <f t="shared" si="57"/>
        <v>0</v>
      </c>
      <c r="AO252" s="406">
        <f t="shared" si="58"/>
        <v>0</v>
      </c>
      <c r="AP252" s="390" t="e">
        <f t="shared" si="59"/>
        <v>#REF!</v>
      </c>
      <c r="AQ252" s="407">
        <f t="shared" ref="AQ252:AQ267" si="65">IF(AD181="Part &amp; Part",LOOKUP(AE252,AI138:AI176,AS138:AS176),0)</f>
        <v>0</v>
      </c>
      <c r="AR252" s="409"/>
      <c r="AS252" s="428">
        <f t="shared" si="61"/>
        <v>0</v>
      </c>
      <c r="AT252" s="451">
        <f t="shared" si="62"/>
        <v>0</v>
      </c>
      <c r="AU252" s="409" t="e">
        <f t="shared" si="63"/>
        <v>#REF!</v>
      </c>
    </row>
    <row r="253" spans="4:47">
      <c r="D253" s="37"/>
      <c r="F253" s="37"/>
      <c r="G253" s="37"/>
      <c r="H253" s="37"/>
      <c r="L253" s="156"/>
      <c r="M253" s="489"/>
      <c r="O253" s="159"/>
      <c r="S253" s="1265" t="s">
        <v>199</v>
      </c>
      <c r="T253" s="1265"/>
      <c r="U253" s="505" t="s">
        <v>193</v>
      </c>
      <c r="V253" s="711"/>
      <c r="AE253" s="386">
        <f t="shared" si="64"/>
        <v>26</v>
      </c>
      <c r="AF253" s="450" t="e">
        <f t="shared" si="52"/>
        <v>#DIV/0!</v>
      </c>
      <c r="AG253" s="450">
        <f t="shared" si="50"/>
        <v>0</v>
      </c>
      <c r="AH253" s="450">
        <f t="shared" si="51"/>
        <v>0</v>
      </c>
      <c r="AI253" s="450">
        <f t="shared" si="53"/>
        <v>0</v>
      </c>
      <c r="AJ253" s="404" t="e">
        <f t="shared" si="54"/>
        <v>#DIV/0!</v>
      </c>
      <c r="AK253" s="386" t="e">
        <f t="shared" si="55"/>
        <v>#DIV/0!</v>
      </c>
      <c r="AL253" s="405">
        <f t="shared" si="56"/>
        <v>0</v>
      </c>
      <c r="AM253" s="390"/>
      <c r="AN253" s="405">
        <f t="shared" si="57"/>
        <v>0</v>
      </c>
      <c r="AO253" s="406">
        <f t="shared" si="58"/>
        <v>0</v>
      </c>
      <c r="AP253" s="390" t="e">
        <f t="shared" si="59"/>
        <v>#REF!</v>
      </c>
      <c r="AQ253" s="407">
        <f t="shared" si="65"/>
        <v>0</v>
      </c>
      <c r="AR253" s="409"/>
      <c r="AS253" s="428">
        <f t="shared" si="61"/>
        <v>0</v>
      </c>
      <c r="AT253" s="451">
        <f t="shared" si="62"/>
        <v>0</v>
      </c>
      <c r="AU253" s="409" t="e">
        <f t="shared" si="63"/>
        <v>#REF!</v>
      </c>
    </row>
    <row r="254" spans="4:47">
      <c r="D254" s="37"/>
      <c r="F254" s="37"/>
      <c r="G254" s="37"/>
      <c r="H254" s="37"/>
      <c r="L254" s="156"/>
      <c r="M254" s="1276" t="s">
        <v>473</v>
      </c>
      <c r="N254" s="1277"/>
      <c r="O254" s="1277"/>
      <c r="P254" s="1277"/>
      <c r="Q254" s="1278"/>
      <c r="R254" s="1267" t="s">
        <v>203</v>
      </c>
      <c r="S254" s="1267" t="s">
        <v>204</v>
      </c>
      <c r="T254" s="1267" t="s">
        <v>201</v>
      </c>
      <c r="U254" s="1267" t="s">
        <v>205</v>
      </c>
      <c r="V254" s="705"/>
      <c r="AE254" s="386">
        <f t="shared" si="64"/>
        <v>27</v>
      </c>
      <c r="AF254" s="450" t="e">
        <f t="shared" si="52"/>
        <v>#DIV/0!</v>
      </c>
      <c r="AG254" s="450">
        <f t="shared" si="50"/>
        <v>0</v>
      </c>
      <c r="AH254" s="450">
        <f t="shared" si="51"/>
        <v>0</v>
      </c>
      <c r="AI254" s="450">
        <f t="shared" si="53"/>
        <v>0</v>
      </c>
      <c r="AJ254" s="404" t="e">
        <f t="shared" si="54"/>
        <v>#DIV/0!</v>
      </c>
      <c r="AK254" s="386" t="e">
        <f t="shared" si="55"/>
        <v>#DIV/0!</v>
      </c>
      <c r="AL254" s="405">
        <f t="shared" si="56"/>
        <v>0</v>
      </c>
      <c r="AM254" s="390"/>
      <c r="AN254" s="405">
        <f t="shared" si="57"/>
        <v>0</v>
      </c>
      <c r="AO254" s="406">
        <f t="shared" si="58"/>
        <v>0</v>
      </c>
      <c r="AP254" s="390" t="e">
        <f t="shared" si="59"/>
        <v>#REF!</v>
      </c>
      <c r="AQ254" s="407">
        <f t="shared" si="65"/>
        <v>0</v>
      </c>
      <c r="AR254" s="409"/>
      <c r="AS254" s="428">
        <f t="shared" si="61"/>
        <v>0</v>
      </c>
      <c r="AT254" s="451">
        <f t="shared" si="62"/>
        <v>0</v>
      </c>
      <c r="AU254" s="409" t="e">
        <f t="shared" si="63"/>
        <v>#REF!</v>
      </c>
    </row>
    <row r="255" spans="4:47">
      <c r="D255" s="37"/>
      <c r="F255" s="37"/>
      <c r="G255" s="37"/>
      <c r="H255" s="37"/>
      <c r="L255" s="156"/>
      <c r="M255" s="1279"/>
      <c r="N255" s="1280"/>
      <c r="O255" s="1280"/>
      <c r="P255" s="1280"/>
      <c r="Q255" s="1281"/>
      <c r="R255" s="1268"/>
      <c r="S255" s="1268"/>
      <c r="T255" s="1268"/>
      <c r="U255" s="1268"/>
      <c r="V255" s="705"/>
      <c r="AE255" s="386">
        <f t="shared" si="64"/>
        <v>28</v>
      </c>
      <c r="AF255" s="450" t="e">
        <f t="shared" si="52"/>
        <v>#DIV/0!</v>
      </c>
      <c r="AG255" s="450">
        <f t="shared" si="50"/>
        <v>0</v>
      </c>
      <c r="AH255" s="450">
        <f t="shared" si="51"/>
        <v>0</v>
      </c>
      <c r="AI255" s="450">
        <f t="shared" si="53"/>
        <v>0</v>
      </c>
      <c r="AJ255" s="404" t="e">
        <f t="shared" si="54"/>
        <v>#DIV/0!</v>
      </c>
      <c r="AK255" s="386" t="e">
        <f t="shared" si="55"/>
        <v>#DIV/0!</v>
      </c>
      <c r="AL255" s="405">
        <f t="shared" si="56"/>
        <v>0</v>
      </c>
      <c r="AM255" s="390"/>
      <c r="AN255" s="405">
        <f t="shared" si="57"/>
        <v>0</v>
      </c>
      <c r="AO255" s="406">
        <f t="shared" si="58"/>
        <v>0</v>
      </c>
      <c r="AP255" s="390" t="e">
        <f t="shared" si="59"/>
        <v>#REF!</v>
      </c>
      <c r="AQ255" s="407">
        <f t="shared" si="65"/>
        <v>0</v>
      </c>
      <c r="AR255" s="409"/>
      <c r="AS255" s="428">
        <f t="shared" si="61"/>
        <v>0</v>
      </c>
      <c r="AT255" s="451">
        <f t="shared" si="62"/>
        <v>0</v>
      </c>
      <c r="AU255" s="409" t="e">
        <f t="shared" si="63"/>
        <v>#REF!</v>
      </c>
    </row>
    <row r="256" spans="4:47">
      <c r="D256" s="37"/>
      <c r="F256" s="37"/>
      <c r="G256" s="37"/>
      <c r="H256" s="37"/>
      <c r="L256" s="156"/>
      <c r="M256" s="1282"/>
      <c r="N256" s="1283"/>
      <c r="O256" s="1283"/>
      <c r="P256" s="1283"/>
      <c r="Q256" s="1284"/>
      <c r="R256" s="1269"/>
      <c r="S256" s="1269"/>
      <c r="T256" s="1269"/>
      <c r="U256" s="1269"/>
      <c r="V256" s="705"/>
      <c r="AE256" s="386">
        <f t="shared" si="64"/>
        <v>29</v>
      </c>
      <c r="AF256" s="450" t="e">
        <f t="shared" si="52"/>
        <v>#DIV/0!</v>
      </c>
      <c r="AG256" s="450">
        <f t="shared" si="50"/>
        <v>0</v>
      </c>
      <c r="AH256" s="450">
        <f t="shared" si="51"/>
        <v>0</v>
      </c>
      <c r="AI256" s="450">
        <f t="shared" si="53"/>
        <v>0</v>
      </c>
      <c r="AJ256" s="404" t="e">
        <f t="shared" si="54"/>
        <v>#DIV/0!</v>
      </c>
      <c r="AK256" s="386" t="e">
        <f t="shared" si="55"/>
        <v>#DIV/0!</v>
      </c>
      <c r="AL256" s="405">
        <f t="shared" si="56"/>
        <v>0</v>
      </c>
      <c r="AM256" s="390"/>
      <c r="AN256" s="405">
        <f t="shared" si="57"/>
        <v>0</v>
      </c>
      <c r="AO256" s="406">
        <f t="shared" si="58"/>
        <v>0</v>
      </c>
      <c r="AP256" s="390" t="e">
        <f t="shared" si="59"/>
        <v>#REF!</v>
      </c>
      <c r="AQ256" s="407">
        <f t="shared" si="65"/>
        <v>0</v>
      </c>
      <c r="AR256" s="409"/>
      <c r="AS256" s="428">
        <f t="shared" si="61"/>
        <v>0</v>
      </c>
      <c r="AT256" s="451">
        <f t="shared" si="62"/>
        <v>0</v>
      </c>
      <c r="AU256" s="409" t="e">
        <f t="shared" si="63"/>
        <v>#REF!</v>
      </c>
    </row>
    <row r="257" spans="4:47">
      <c r="D257" s="37"/>
      <c r="F257" s="37"/>
      <c r="G257" s="37"/>
      <c r="H257" s="37"/>
      <c r="L257" s="156"/>
      <c r="M257" s="1275" t="s">
        <v>448</v>
      </c>
      <c r="N257" s="1275"/>
      <c r="O257" s="1275"/>
      <c r="P257" s="1275"/>
      <c r="Q257" s="1275"/>
      <c r="R257" s="506">
        <f>IF(U253="Int. only",0,B80*AK91)</f>
        <v>0</v>
      </c>
      <c r="S257" s="507">
        <f>IF(U253="Int. only",0,IF(O94&lt;0,0,IF(O94&gt;AJ80,AJ97,O94)))</f>
        <v>0</v>
      </c>
      <c r="T257" s="508" t="e">
        <f>IF(U253="Cap. r/p",0,B80*AI91)</f>
        <v>#DIV/0!</v>
      </c>
      <c r="U257" s="509">
        <f>IF(U253="Cap. r/p",0,IF(R94&lt;0,0,IF(R94&lt;AJ96,R94,AJ96)))</f>
        <v>0</v>
      </c>
      <c r="V257" s="712"/>
      <c r="AE257" s="386">
        <f t="shared" si="64"/>
        <v>30</v>
      </c>
      <c r="AF257" s="450" t="e">
        <f t="shared" si="52"/>
        <v>#DIV/0!</v>
      </c>
      <c r="AG257" s="450">
        <f t="shared" si="50"/>
        <v>0</v>
      </c>
      <c r="AH257" s="450">
        <f t="shared" si="51"/>
        <v>0</v>
      </c>
      <c r="AI257" s="450">
        <f t="shared" si="53"/>
        <v>0</v>
      </c>
      <c r="AJ257" s="404" t="e">
        <f t="shared" si="54"/>
        <v>#DIV/0!</v>
      </c>
      <c r="AK257" s="386" t="e">
        <f t="shared" si="55"/>
        <v>#DIV/0!</v>
      </c>
      <c r="AL257" s="405">
        <f t="shared" si="56"/>
        <v>0</v>
      </c>
      <c r="AM257" s="390"/>
      <c r="AN257" s="405">
        <f t="shared" si="57"/>
        <v>0</v>
      </c>
      <c r="AO257" s="406">
        <f t="shared" si="58"/>
        <v>0</v>
      </c>
      <c r="AP257" s="390" t="e">
        <f t="shared" si="59"/>
        <v>#REF!</v>
      </c>
      <c r="AQ257" s="407">
        <f t="shared" si="65"/>
        <v>0</v>
      </c>
      <c r="AR257" s="409"/>
      <c r="AS257" s="428">
        <f t="shared" si="61"/>
        <v>0</v>
      </c>
      <c r="AT257" s="451">
        <f t="shared" si="62"/>
        <v>0</v>
      </c>
      <c r="AU257" s="409" t="e">
        <f t="shared" si="63"/>
        <v>#REF!</v>
      </c>
    </row>
    <row r="258" spans="4:47">
      <c r="D258" s="37"/>
      <c r="F258" s="37"/>
      <c r="G258" s="37"/>
      <c r="H258" s="37"/>
      <c r="L258" s="156"/>
      <c r="M258" s="1275" t="s">
        <v>470</v>
      </c>
      <c r="N258" s="1275"/>
      <c r="O258" s="1275"/>
      <c r="P258" s="1275"/>
      <c r="Q258" s="1275"/>
      <c r="R258" s="506">
        <f>IF(U253="Int. only",0,B80*AK92)</f>
        <v>0</v>
      </c>
      <c r="S258" s="507">
        <f>IF(U253="Int. only",0,IF(AJ97-S257&lt;0,0,AJ97-S257))</f>
        <v>0</v>
      </c>
      <c r="T258" s="508" t="e">
        <f>IF(U253="Cap. r/p",0,B80*AI92)</f>
        <v>#DIV/0!</v>
      </c>
      <c r="U258" s="509">
        <f>IF(U253="Cap. r/p",0,IF(AJ96-U257&lt;0,0,AJ96-U257))</f>
        <v>0</v>
      </c>
      <c r="V258" s="712"/>
      <c r="AE258" s="386">
        <f t="shared" si="64"/>
        <v>31</v>
      </c>
      <c r="AF258" s="450" t="e">
        <f t="shared" si="52"/>
        <v>#DIV/0!</v>
      </c>
      <c r="AG258" s="450">
        <f t="shared" si="50"/>
        <v>0</v>
      </c>
      <c r="AH258" s="450">
        <f t="shared" si="51"/>
        <v>0</v>
      </c>
      <c r="AI258" s="450">
        <f t="shared" si="53"/>
        <v>0</v>
      </c>
      <c r="AJ258" s="404" t="e">
        <f t="shared" si="54"/>
        <v>#DIV/0!</v>
      </c>
      <c r="AK258" s="386" t="e">
        <f t="shared" si="55"/>
        <v>#DIV/0!</v>
      </c>
      <c r="AL258" s="405">
        <f t="shared" si="56"/>
        <v>0</v>
      </c>
      <c r="AM258" s="390"/>
      <c r="AN258" s="405">
        <f t="shared" si="57"/>
        <v>0</v>
      </c>
      <c r="AO258" s="406">
        <f t="shared" si="58"/>
        <v>0</v>
      </c>
      <c r="AP258" s="390" t="e">
        <f t="shared" si="59"/>
        <v>#REF!</v>
      </c>
      <c r="AQ258" s="407">
        <f t="shared" si="65"/>
        <v>0</v>
      </c>
      <c r="AR258" s="409"/>
      <c r="AS258" s="428">
        <f t="shared" si="61"/>
        <v>0</v>
      </c>
      <c r="AT258" s="451">
        <f t="shared" si="62"/>
        <v>0</v>
      </c>
      <c r="AU258" s="409" t="e">
        <f t="shared" si="63"/>
        <v>#REF!</v>
      </c>
    </row>
    <row r="259" spans="4:47">
      <c r="D259" s="37"/>
      <c r="F259" s="37"/>
      <c r="G259" s="37"/>
      <c r="H259" s="37"/>
      <c r="L259" s="156"/>
      <c r="M259" s="1265" t="s">
        <v>472</v>
      </c>
      <c r="N259" s="1265"/>
      <c r="O259" s="1265"/>
      <c r="P259" s="1265"/>
      <c r="Q259" s="1266"/>
      <c r="R259" s="506">
        <f>SUM(R254:R258)</f>
        <v>0</v>
      </c>
      <c r="S259" s="507">
        <f>SUM(S257+S258)</f>
        <v>0</v>
      </c>
      <c r="T259" s="508" t="e">
        <f>SUM(T257:T258)</f>
        <v>#DIV/0!</v>
      </c>
      <c r="U259" s="510">
        <f>SUM(U257+U258)</f>
        <v>0</v>
      </c>
      <c r="V259" s="712"/>
      <c r="AE259" s="386">
        <f t="shared" si="64"/>
        <v>32</v>
      </c>
      <c r="AF259" s="450" t="e">
        <f t="shared" si="52"/>
        <v>#DIV/0!</v>
      </c>
      <c r="AG259" s="450">
        <f t="shared" si="50"/>
        <v>0</v>
      </c>
      <c r="AH259" s="450">
        <f t="shared" si="51"/>
        <v>0</v>
      </c>
      <c r="AI259" s="450">
        <f t="shared" si="53"/>
        <v>0</v>
      </c>
      <c r="AJ259" s="404" t="e">
        <f t="shared" si="54"/>
        <v>#DIV/0!</v>
      </c>
      <c r="AK259" s="386" t="e">
        <f t="shared" si="55"/>
        <v>#DIV/0!</v>
      </c>
      <c r="AL259" s="405">
        <f t="shared" si="56"/>
        <v>0</v>
      </c>
      <c r="AM259" s="390"/>
      <c r="AN259" s="405">
        <f t="shared" si="57"/>
        <v>0</v>
      </c>
      <c r="AO259" s="406">
        <f t="shared" si="58"/>
        <v>0</v>
      </c>
      <c r="AP259" s="390" t="e">
        <f t="shared" si="59"/>
        <v>#REF!</v>
      </c>
      <c r="AQ259" s="407">
        <f t="shared" si="65"/>
        <v>0</v>
      </c>
      <c r="AR259" s="409"/>
      <c r="AS259" s="428">
        <f t="shared" si="61"/>
        <v>0</v>
      </c>
      <c r="AT259" s="451">
        <f t="shared" si="62"/>
        <v>0</v>
      </c>
      <c r="AU259" s="409" t="e">
        <f t="shared" si="63"/>
        <v>#REF!</v>
      </c>
    </row>
    <row r="260" spans="4:47">
      <c r="D260" s="37"/>
      <c r="F260" s="37"/>
      <c r="G260" s="37"/>
      <c r="H260" s="37"/>
      <c r="L260" s="156"/>
      <c r="M260" s="497"/>
      <c r="N260" s="159"/>
      <c r="O260" s="159"/>
      <c r="U260" s="490"/>
      <c r="AE260" s="386">
        <f t="shared" si="64"/>
        <v>33</v>
      </c>
      <c r="AF260" s="450" t="e">
        <f t="shared" si="52"/>
        <v>#DIV/0!</v>
      </c>
      <c r="AG260" s="450">
        <f t="shared" si="50"/>
        <v>0</v>
      </c>
      <c r="AH260" s="450">
        <f t="shared" si="51"/>
        <v>0</v>
      </c>
      <c r="AI260" s="450">
        <f t="shared" si="53"/>
        <v>0</v>
      </c>
      <c r="AJ260" s="404" t="e">
        <f t="shared" si="54"/>
        <v>#DIV/0!</v>
      </c>
      <c r="AK260" s="386" t="e">
        <f t="shared" si="55"/>
        <v>#DIV/0!</v>
      </c>
      <c r="AL260" s="405">
        <f t="shared" si="56"/>
        <v>0</v>
      </c>
      <c r="AM260" s="390"/>
      <c r="AN260" s="405">
        <f t="shared" si="57"/>
        <v>0</v>
      </c>
      <c r="AO260" s="406">
        <f t="shared" si="58"/>
        <v>0</v>
      </c>
      <c r="AP260" s="390" t="e">
        <f t="shared" si="59"/>
        <v>#REF!</v>
      </c>
      <c r="AQ260" s="407">
        <f t="shared" si="65"/>
        <v>0</v>
      </c>
      <c r="AR260" s="409"/>
      <c r="AS260" s="428">
        <f t="shared" si="61"/>
        <v>0</v>
      </c>
      <c r="AT260" s="451">
        <f t="shared" si="62"/>
        <v>0</v>
      </c>
      <c r="AU260" s="409" t="e">
        <f t="shared" si="63"/>
        <v>#REF!</v>
      </c>
    </row>
    <row r="261" spans="4:47">
      <c r="D261" s="37"/>
      <c r="F261" s="37"/>
      <c r="G261" s="37"/>
      <c r="H261" s="37"/>
      <c r="L261" s="156"/>
      <c r="M261" s="489"/>
      <c r="N261" s="159"/>
      <c r="O261" s="159"/>
      <c r="U261" s="490"/>
      <c r="AE261" s="386">
        <f t="shared" si="64"/>
        <v>34</v>
      </c>
      <c r="AF261" s="450">
        <f t="shared" si="52"/>
        <v>0</v>
      </c>
      <c r="AG261" s="450">
        <f t="shared" si="50"/>
        <v>0</v>
      </c>
      <c r="AH261" s="450">
        <f t="shared" si="51"/>
        <v>0</v>
      </c>
      <c r="AI261" s="450">
        <f t="shared" si="53"/>
        <v>0</v>
      </c>
      <c r="AJ261" s="404" t="e">
        <f t="shared" si="54"/>
        <v>#DIV/0!</v>
      </c>
      <c r="AK261" s="386" t="e">
        <f t="shared" si="55"/>
        <v>#DIV/0!</v>
      </c>
      <c r="AL261" s="405">
        <f t="shared" si="56"/>
        <v>0</v>
      </c>
      <c r="AM261" s="390"/>
      <c r="AN261" s="405">
        <f t="shared" si="57"/>
        <v>0</v>
      </c>
      <c r="AO261" s="406">
        <f t="shared" si="58"/>
        <v>0</v>
      </c>
      <c r="AP261" s="390" t="e">
        <f t="shared" si="59"/>
        <v>#REF!</v>
      </c>
      <c r="AQ261" s="407">
        <f t="shared" si="65"/>
        <v>0</v>
      </c>
      <c r="AR261" s="409"/>
      <c r="AS261" s="428">
        <f t="shared" si="61"/>
        <v>0</v>
      </c>
      <c r="AT261" s="451">
        <f t="shared" si="62"/>
        <v>0</v>
      </c>
      <c r="AU261" s="409" t="e">
        <f t="shared" si="63"/>
        <v>#REF!</v>
      </c>
    </row>
    <row r="262" spans="4:47">
      <c r="D262" s="37"/>
      <c r="F262" s="37"/>
      <c r="G262" s="37"/>
      <c r="H262" s="37"/>
      <c r="M262" s="497"/>
      <c r="N262" s="159"/>
      <c r="O262" s="159"/>
      <c r="U262" s="490"/>
      <c r="AE262" s="386">
        <f t="shared" si="64"/>
        <v>35</v>
      </c>
      <c r="AF262" s="450">
        <f t="shared" si="52"/>
        <v>0</v>
      </c>
      <c r="AG262" s="450">
        <f t="shared" si="50"/>
        <v>0</v>
      </c>
      <c r="AH262" s="450">
        <f t="shared" si="51"/>
        <v>0</v>
      </c>
      <c r="AI262" s="450">
        <f t="shared" si="53"/>
        <v>0</v>
      </c>
      <c r="AJ262" s="404" t="e">
        <f t="shared" si="54"/>
        <v>#DIV/0!</v>
      </c>
      <c r="AK262" s="386" t="e">
        <f t="shared" si="55"/>
        <v>#DIV/0!</v>
      </c>
      <c r="AL262" s="405">
        <f t="shared" si="56"/>
        <v>0</v>
      </c>
      <c r="AM262" s="390"/>
      <c r="AN262" s="405">
        <f t="shared" si="57"/>
        <v>0</v>
      </c>
      <c r="AO262" s="406">
        <f t="shared" si="58"/>
        <v>0</v>
      </c>
      <c r="AP262" s="390" t="e">
        <f t="shared" si="59"/>
        <v>#REF!</v>
      </c>
      <c r="AQ262" s="407">
        <f t="shared" si="65"/>
        <v>0</v>
      </c>
      <c r="AR262" s="409"/>
      <c r="AS262" s="428">
        <f t="shared" si="61"/>
        <v>0</v>
      </c>
      <c r="AT262" s="451">
        <f t="shared" si="62"/>
        <v>0</v>
      </c>
      <c r="AU262" s="409" t="e">
        <f t="shared" si="63"/>
        <v>#REF!</v>
      </c>
    </row>
    <row r="263" spans="4:47">
      <c r="D263" s="37"/>
      <c r="F263" s="37"/>
      <c r="G263" s="37"/>
      <c r="H263" s="37"/>
      <c r="L263" s="156"/>
      <c r="M263" s="489" t="s">
        <v>449</v>
      </c>
      <c r="P263" s="501">
        <f>'Support borrower Affordability'!$N$133</f>
        <v>0</v>
      </c>
      <c r="R263" s="147"/>
      <c r="S263" s="159"/>
      <c r="T263" s="159"/>
      <c r="U263" s="490"/>
      <c r="AE263" s="386">
        <f t="shared" si="64"/>
        <v>36</v>
      </c>
      <c r="AF263" s="450">
        <f t="shared" si="52"/>
        <v>0</v>
      </c>
      <c r="AG263" s="450">
        <f t="shared" si="50"/>
        <v>0</v>
      </c>
      <c r="AH263" s="450">
        <f t="shared" si="51"/>
        <v>0</v>
      </c>
      <c r="AI263" s="450">
        <f t="shared" si="53"/>
        <v>0</v>
      </c>
      <c r="AJ263" s="404" t="e">
        <f t="shared" si="54"/>
        <v>#DIV/0!</v>
      </c>
      <c r="AK263" s="386" t="e">
        <f t="shared" si="55"/>
        <v>#DIV/0!</v>
      </c>
      <c r="AL263" s="405">
        <f t="shared" si="56"/>
        <v>0</v>
      </c>
      <c r="AM263" s="390"/>
      <c r="AN263" s="405">
        <f t="shared" si="57"/>
        <v>0</v>
      </c>
      <c r="AO263" s="406">
        <f t="shared" si="58"/>
        <v>0</v>
      </c>
      <c r="AP263" s="390" t="e">
        <f t="shared" si="59"/>
        <v>#REF!</v>
      </c>
      <c r="AQ263" s="407">
        <f t="shared" si="65"/>
        <v>0</v>
      </c>
      <c r="AR263" s="409"/>
      <c r="AS263" s="428">
        <f t="shared" si="61"/>
        <v>0</v>
      </c>
      <c r="AT263" s="451">
        <f t="shared" si="62"/>
        <v>0</v>
      </c>
      <c r="AU263" s="409" t="e">
        <f t="shared" si="63"/>
        <v>#REF!</v>
      </c>
    </row>
    <row r="264" spans="4:47">
      <c r="D264" s="37"/>
      <c r="F264" s="37"/>
      <c r="G264" s="37"/>
      <c r="H264" s="37"/>
      <c r="L264" s="156"/>
      <c r="M264" s="489" t="s">
        <v>217</v>
      </c>
      <c r="P264" s="511">
        <f>'Support borrower Affordability'!$N$134</f>
        <v>0</v>
      </c>
      <c r="R264" s="147"/>
      <c r="S264" s="159"/>
      <c r="T264" s="159"/>
      <c r="U264" s="490"/>
      <c r="AE264" s="386">
        <f t="shared" si="64"/>
        <v>37</v>
      </c>
      <c r="AF264" s="450">
        <f t="shared" si="52"/>
        <v>0</v>
      </c>
      <c r="AG264" s="450">
        <f t="shared" si="50"/>
        <v>0</v>
      </c>
      <c r="AH264" s="450">
        <f t="shared" si="51"/>
        <v>0</v>
      </c>
      <c r="AI264" s="450">
        <f t="shared" si="53"/>
        <v>0</v>
      </c>
      <c r="AJ264" s="404" t="e">
        <f t="shared" si="54"/>
        <v>#DIV/0!</v>
      </c>
      <c r="AK264" s="386" t="e">
        <f t="shared" si="55"/>
        <v>#DIV/0!</v>
      </c>
      <c r="AL264" s="405">
        <f t="shared" si="56"/>
        <v>0</v>
      </c>
      <c r="AM264" s="390"/>
      <c r="AN264" s="405">
        <f t="shared" si="57"/>
        <v>0</v>
      </c>
      <c r="AO264" s="406">
        <f t="shared" si="58"/>
        <v>0</v>
      </c>
      <c r="AP264" s="390" t="e">
        <f t="shared" si="59"/>
        <v>#REF!</v>
      </c>
      <c r="AQ264" s="407">
        <f t="shared" si="65"/>
        <v>0</v>
      </c>
      <c r="AR264" s="409"/>
      <c r="AS264" s="428">
        <f t="shared" si="61"/>
        <v>0</v>
      </c>
      <c r="AT264" s="451">
        <f t="shared" si="62"/>
        <v>0</v>
      </c>
      <c r="AU264" s="409" t="e">
        <f t="shared" si="63"/>
        <v>#REF!</v>
      </c>
    </row>
    <row r="265" spans="4:47">
      <c r="D265" s="37"/>
      <c r="F265" s="37"/>
      <c r="G265" s="37"/>
      <c r="H265" s="37"/>
      <c r="L265" s="156"/>
      <c r="M265" s="489"/>
      <c r="O265" s="512"/>
      <c r="P265" s="513">
        <f>'Support borrower Affordability'!$N$136</f>
        <v>0</v>
      </c>
      <c r="R265" s="147"/>
      <c r="S265" s="159"/>
      <c r="T265" s="147"/>
      <c r="U265" s="490"/>
      <c r="AE265" s="386">
        <f t="shared" si="64"/>
        <v>38</v>
      </c>
      <c r="AF265" s="450">
        <f t="shared" si="52"/>
        <v>0</v>
      </c>
      <c r="AG265" s="450">
        <f t="shared" si="50"/>
        <v>0</v>
      </c>
      <c r="AH265" s="450">
        <f t="shared" si="51"/>
        <v>0</v>
      </c>
      <c r="AI265" s="450">
        <f t="shared" si="53"/>
        <v>0</v>
      </c>
      <c r="AJ265" s="404" t="e">
        <f t="shared" si="54"/>
        <v>#DIV/0!</v>
      </c>
      <c r="AK265" s="386" t="e">
        <f t="shared" si="55"/>
        <v>#DIV/0!</v>
      </c>
      <c r="AL265" s="405">
        <f t="shared" si="56"/>
        <v>0</v>
      </c>
      <c r="AM265" s="390"/>
      <c r="AN265" s="405">
        <f t="shared" si="57"/>
        <v>0</v>
      </c>
      <c r="AO265" s="406">
        <f t="shared" si="58"/>
        <v>0</v>
      </c>
      <c r="AP265" s="390" t="e">
        <f t="shared" si="59"/>
        <v>#REF!</v>
      </c>
      <c r="AQ265" s="407">
        <f t="shared" si="65"/>
        <v>0</v>
      </c>
      <c r="AR265" s="409"/>
      <c r="AS265" s="428">
        <f t="shared" si="61"/>
        <v>0</v>
      </c>
      <c r="AT265" s="451">
        <f t="shared" si="62"/>
        <v>0</v>
      </c>
      <c r="AU265" s="409" t="e">
        <f t="shared" si="63"/>
        <v>#REF!</v>
      </c>
    </row>
    <row r="266" spans="4:47">
      <c r="D266" s="37"/>
      <c r="F266" s="37"/>
      <c r="G266" s="37"/>
      <c r="H266" s="37"/>
      <c r="L266" s="156"/>
      <c r="M266" s="489" t="s">
        <v>215</v>
      </c>
      <c r="P266" s="511">
        <f>'Support borrower Affordability'!$N$138</f>
        <v>0</v>
      </c>
      <c r="R266" s="147"/>
      <c r="S266" s="147"/>
      <c r="U266" s="490"/>
      <c r="AE266" s="386">
        <f t="shared" si="64"/>
        <v>39</v>
      </c>
      <c r="AF266" s="450">
        <f t="shared" si="52"/>
        <v>0</v>
      </c>
      <c r="AG266" s="450">
        <f t="shared" si="50"/>
        <v>0</v>
      </c>
      <c r="AH266" s="450">
        <f t="shared" si="51"/>
        <v>0</v>
      </c>
      <c r="AI266" s="450">
        <f t="shared" si="53"/>
        <v>0</v>
      </c>
      <c r="AJ266" s="404" t="e">
        <f t="shared" si="54"/>
        <v>#DIV/0!</v>
      </c>
      <c r="AK266" s="386" t="e">
        <f t="shared" si="55"/>
        <v>#DIV/0!</v>
      </c>
      <c r="AL266" s="405">
        <f t="shared" si="56"/>
        <v>0</v>
      </c>
      <c r="AM266" s="390"/>
      <c r="AN266" s="405">
        <f t="shared" si="57"/>
        <v>0</v>
      </c>
      <c r="AO266" s="406">
        <f t="shared" si="58"/>
        <v>0</v>
      </c>
      <c r="AP266" s="390" t="e">
        <f t="shared" si="59"/>
        <v>#REF!</v>
      </c>
      <c r="AQ266" s="407">
        <f t="shared" si="65"/>
        <v>0</v>
      </c>
      <c r="AR266" s="409"/>
      <c r="AS266" s="428">
        <f t="shared" si="61"/>
        <v>0</v>
      </c>
      <c r="AT266" s="451">
        <f t="shared" si="62"/>
        <v>0</v>
      </c>
      <c r="AU266" s="409" t="e">
        <f t="shared" si="63"/>
        <v>#REF!</v>
      </c>
    </row>
    <row r="267" spans="4:47" ht="13.8" thickBot="1">
      <c r="D267" s="37"/>
      <c r="F267" s="37"/>
      <c r="G267" s="37"/>
      <c r="H267" s="37"/>
      <c r="L267" s="156"/>
      <c r="M267" s="489"/>
      <c r="P267" s="514">
        <f>'Support borrower Affordability'!$N$139</f>
        <v>0</v>
      </c>
      <c r="Q267" s="515" t="str">
        <f>'Support borrower Affordability'!$O$139</f>
        <v>@ 3.5 x GROSS INCOME  able to guarantee</v>
      </c>
      <c r="R267" s="147"/>
      <c r="S267" s="147"/>
      <c r="T267" s="516">
        <f>'Support borrower Affordability'!$R$139</f>
        <v>0</v>
      </c>
      <c r="U267" s="490"/>
      <c r="AE267" s="386">
        <f t="shared" si="64"/>
        <v>40</v>
      </c>
      <c r="AF267" s="450">
        <f t="shared" si="52"/>
        <v>0</v>
      </c>
      <c r="AG267" s="450">
        <f t="shared" si="50"/>
        <v>0</v>
      </c>
      <c r="AH267" s="450">
        <f t="shared" si="51"/>
        <v>0</v>
      </c>
      <c r="AI267" s="450">
        <f t="shared" si="53"/>
        <v>0</v>
      </c>
      <c r="AJ267" s="404" t="e">
        <f t="shared" si="54"/>
        <v>#DIV/0!</v>
      </c>
      <c r="AK267" s="386" t="e">
        <f t="shared" si="55"/>
        <v>#DIV/0!</v>
      </c>
      <c r="AL267" s="405">
        <f t="shared" si="56"/>
        <v>0</v>
      </c>
      <c r="AM267" s="390"/>
      <c r="AN267" s="405">
        <f t="shared" si="57"/>
        <v>0</v>
      </c>
      <c r="AO267" s="406">
        <f t="shared" si="58"/>
        <v>0</v>
      </c>
      <c r="AP267" s="390" t="e">
        <f t="shared" si="59"/>
        <v>#REF!</v>
      </c>
      <c r="AQ267" s="407">
        <f t="shared" si="65"/>
        <v>0</v>
      </c>
      <c r="AR267" s="409"/>
      <c r="AS267" s="428">
        <f t="shared" si="61"/>
        <v>0</v>
      </c>
      <c r="AT267" s="451">
        <f t="shared" si="62"/>
        <v>0</v>
      </c>
      <c r="AU267" s="409" t="e">
        <f t="shared" si="63"/>
        <v>#REF!</v>
      </c>
    </row>
    <row r="268" spans="4:47" ht="13.8" thickTop="1">
      <c r="D268" s="37"/>
      <c r="F268" s="37"/>
      <c r="G268" s="37"/>
      <c r="H268" s="37"/>
      <c r="L268" s="156"/>
      <c r="M268" s="497"/>
      <c r="N268" s="159"/>
      <c r="O268" s="159"/>
      <c r="U268" s="490"/>
    </row>
    <row r="269" spans="4:47">
      <c r="D269" s="37"/>
      <c r="F269" s="37"/>
      <c r="G269" s="37"/>
      <c r="H269" s="37"/>
      <c r="L269" s="156"/>
      <c r="M269" s="492" t="s">
        <v>474</v>
      </c>
      <c r="U269" s="490"/>
    </row>
    <row r="270" spans="4:47">
      <c r="D270" s="37"/>
      <c r="F270" s="37"/>
      <c r="G270" s="37"/>
      <c r="H270" s="37"/>
      <c r="M270" s="489"/>
      <c r="U270" s="490"/>
    </row>
    <row r="271" spans="4:47">
      <c r="D271" s="37"/>
      <c r="F271" s="37"/>
      <c r="G271" s="37"/>
      <c r="H271" s="37"/>
      <c r="M271" s="489" t="s">
        <v>469</v>
      </c>
      <c r="U271" s="490"/>
      <c r="AF271" s="139" t="s">
        <v>706</v>
      </c>
      <c r="AH271" s="139" t="e">
        <f>MATCH(1,AK228:AK267,0)</f>
        <v>#N/A</v>
      </c>
      <c r="AI271" s="139" t="s">
        <v>561</v>
      </c>
      <c r="AL271" s="139" t="s">
        <v>707</v>
      </c>
      <c r="AN271" s="139">
        <f>MATCH(1,AP228:AP267,0)</f>
        <v>1</v>
      </c>
      <c r="AO271" s="139" t="s">
        <v>561</v>
      </c>
      <c r="AQ271" s="139" t="s">
        <v>708</v>
      </c>
      <c r="AR271" s="139">
        <f>MATCH(1,AU228:AU267,0)</f>
        <v>1</v>
      </c>
      <c r="AS271" s="139" t="s">
        <v>561</v>
      </c>
    </row>
    <row r="272" spans="4:47">
      <c r="D272" s="37"/>
      <c r="F272" s="37"/>
      <c r="G272" s="37"/>
      <c r="H272" s="37"/>
      <c r="M272" s="489"/>
      <c r="N272" s="147"/>
      <c r="U272" s="490"/>
    </row>
    <row r="273" spans="4:35">
      <c r="D273" s="37"/>
      <c r="F273" s="37"/>
      <c r="G273" s="37"/>
      <c r="H273" s="37"/>
      <c r="M273" s="495" t="s">
        <v>466</v>
      </c>
      <c r="P273" s="517">
        <v>8</v>
      </c>
      <c r="U273" s="490"/>
    </row>
    <row r="274" spans="4:35">
      <c r="D274" s="37"/>
      <c r="F274" s="37"/>
      <c r="G274" s="37"/>
      <c r="H274" s="37"/>
      <c r="M274" s="489"/>
      <c r="N274" s="159"/>
      <c r="U274" s="490"/>
      <c r="AE274" s="435" t="s">
        <v>709</v>
      </c>
      <c r="AF274" s="383"/>
      <c r="AG274" s="383"/>
      <c r="AH274" s="383"/>
    </row>
    <row r="275" spans="4:35">
      <c r="D275" s="37"/>
      <c r="F275" s="37"/>
      <c r="G275" s="37"/>
      <c r="H275" s="37"/>
      <c r="M275" s="497" t="s">
        <v>467</v>
      </c>
      <c r="P275" s="519" t="e">
        <f>LOOKUP($P$273,$AI$114:$AI$148,$AJ$114:$AJ$148)</f>
        <v>#DIV/0!</v>
      </c>
      <c r="U275" s="490"/>
      <c r="AE275" s="383"/>
      <c r="AF275" s="383"/>
      <c r="AG275" s="383"/>
      <c r="AH275" s="383"/>
    </row>
    <row r="276" spans="4:35">
      <c r="D276" s="37"/>
      <c r="F276" s="37"/>
      <c r="G276" s="37"/>
      <c r="H276" s="37"/>
      <c r="M276" s="489"/>
      <c r="U276" s="490"/>
      <c r="AE276" s="472" t="str">
        <f>D68</f>
        <v>Capital Repayment</v>
      </c>
      <c r="AF276" s="383"/>
      <c r="AG276" s="383" t="e">
        <f>IF(AE276="Capital Repayment",AH271,IF(AE276="Interest-only",AN271,IF(AE276="Part &amp; Part",AR271)))</f>
        <v>#N/A</v>
      </c>
      <c r="AH276" s="383"/>
      <c r="AI276" s="139" t="s">
        <v>710</v>
      </c>
    </row>
    <row r="277" spans="4:35">
      <c r="D277" s="37"/>
      <c r="F277" s="37"/>
      <c r="G277" s="37"/>
      <c r="H277" s="37"/>
      <c r="M277" s="497" t="s">
        <v>475</v>
      </c>
      <c r="P277" s="519">
        <f>LOOKUP($P$273,$AD$114:$AD$148,$AE$114:$AE$148)</f>
        <v>0</v>
      </c>
      <c r="U277" s="490"/>
    </row>
    <row r="278" spans="4:35">
      <c r="D278" s="37"/>
      <c r="F278" s="37"/>
      <c r="G278" s="37"/>
      <c r="H278" s="37"/>
      <c r="M278" s="489"/>
      <c r="N278" s="147"/>
      <c r="R278" s="32"/>
      <c r="U278" s="490"/>
    </row>
    <row r="279" spans="4:35">
      <c r="D279" s="37"/>
      <c r="F279" s="37"/>
      <c r="G279" s="37"/>
      <c r="H279" s="37"/>
      <c r="M279" s="497" t="s">
        <v>468</v>
      </c>
      <c r="P279" s="520" t="e">
        <f>SUM(P275/P277)</f>
        <v>#DIV/0!</v>
      </c>
      <c r="U279" s="490"/>
      <c r="AD279" s="162" t="s">
        <v>711</v>
      </c>
    </row>
    <row r="280" spans="4:35" ht="17.399999999999999">
      <c r="D280" s="37"/>
      <c r="F280" s="37"/>
      <c r="G280" s="37"/>
      <c r="H280" s="37"/>
      <c r="M280" s="214"/>
      <c r="N280" s="200"/>
      <c r="O280" s="200"/>
      <c r="P280" s="200"/>
      <c r="Q280" s="200"/>
      <c r="R280" s="200"/>
      <c r="S280" s="200"/>
      <c r="T280" s="200"/>
      <c r="U280" s="202"/>
      <c r="AD280" s="518" t="str">
        <f>IF($S$5=0,"",IF($AD$157="Capital Repayment","The occupying borrower(s) are estimated to be able to afford the mortgage on their own in approximately "&amp;(AH271)&amp;" YEARS subject to a full affordability assessment and lending criteria at the time",IF($AD$157="Interest-only","Assuming an annual increase in income of 2% or anticipated retirement income the occupiers could support the loan in approximately "&amp;(AN271)&amp;" YEARS",IF(AD157="Part &amp; Part","Assuming an annual increase in income of 2% or anticipated retirement income the occupiers could support the loan in approximately "&amp;(AR271)&amp;" YEARS"))))</f>
        <v/>
      </c>
    </row>
    <row r="281" spans="4:35">
      <c r="D281" s="37"/>
      <c r="F281" s="37"/>
      <c r="G281" s="37"/>
      <c r="H281" s="37"/>
      <c r="L281" s="156"/>
    </row>
    <row r="282" spans="4:35">
      <c r="D282" s="37"/>
      <c r="F282" s="37"/>
      <c r="G282" s="37"/>
      <c r="H282" s="37"/>
      <c r="L282" s="156"/>
      <c r="AD282" s="162" t="s">
        <v>712</v>
      </c>
    </row>
    <row r="283" spans="4:35" ht="17.399999999999999">
      <c r="D283" s="37"/>
      <c r="F283" s="37"/>
      <c r="G283" s="37"/>
      <c r="H283" s="37"/>
      <c r="L283" s="521" t="s">
        <v>532</v>
      </c>
      <c r="AD283" s="518" t="str">
        <f>IF($S$5=0,"",IF($AD$157="Capital Repayment","Assuming an annual increase in income of 2% the occupiers could support the loan in approximately "&amp;(AF157)&amp;" YEARS",IF($AD$157="Interest-only","Assuming an annual increase in income of 2% the occupiers could support the loan in approximately "&amp;(AO157)&amp;" YEARS",IF($AD$157="Part &amp; Part","Assuming an annual increase in income of 2% the occupiers could support the loan in approximately "&amp;(AS157)&amp;" YEARS"))))</f>
        <v/>
      </c>
    </row>
    <row r="284" spans="4:35">
      <c r="D284" s="37"/>
      <c r="F284" s="37"/>
      <c r="G284" s="37"/>
      <c r="H284" s="37"/>
      <c r="L284" s="159"/>
      <c r="M284" s="522"/>
      <c r="N284" s="487"/>
      <c r="O284" s="487"/>
      <c r="P284" s="487"/>
      <c r="Q284" s="487">
        <v>5</v>
      </c>
      <c r="R284" s="487"/>
      <c r="S284" s="488"/>
    </row>
    <row r="285" spans="4:35">
      <c r="D285" s="37"/>
      <c r="F285" s="37"/>
      <c r="G285" s="37"/>
      <c r="H285" s="37"/>
      <c r="L285" s="159"/>
      <c r="M285" s="498" t="s">
        <v>120</v>
      </c>
      <c r="N285" s="147" t="e">
        <f>IF(#REF!="Fixed",1,0)</f>
        <v>#REF!</v>
      </c>
      <c r="P285" s="159" t="s">
        <v>127</v>
      </c>
      <c r="Q285" s="224"/>
      <c r="R285" s="393">
        <v>2</v>
      </c>
      <c r="S285" s="523"/>
    </row>
    <row r="286" spans="4:35">
      <c r="D286" s="37"/>
      <c r="F286" s="37"/>
      <c r="G286" s="37"/>
      <c r="H286" s="37"/>
      <c r="L286" s="159"/>
      <c r="M286" s="498" t="s">
        <v>121</v>
      </c>
      <c r="N286" s="147" t="e">
        <f>IF(#REF!=5,1,0)</f>
        <v>#REF!</v>
      </c>
      <c r="O286" s="224"/>
      <c r="P286" s="139" t="s">
        <v>119</v>
      </c>
      <c r="R286" s="210">
        <v>3</v>
      </c>
      <c r="S286" s="490"/>
      <c r="AD286" s="159" t="s">
        <v>796</v>
      </c>
    </row>
    <row r="287" spans="4:35">
      <c r="D287" s="37"/>
      <c r="F287" s="37"/>
      <c r="G287" s="37"/>
      <c r="H287" s="37"/>
      <c r="L287" s="159"/>
      <c r="M287" s="498" t="s">
        <v>122</v>
      </c>
      <c r="N287" s="147" t="e">
        <f>SUM(N285:N286)</f>
        <v>#REF!</v>
      </c>
      <c r="O287" s="224"/>
      <c r="R287" s="210">
        <v>5</v>
      </c>
      <c r="S287" s="490"/>
    </row>
    <row r="288" spans="4:35">
      <c r="D288" s="37"/>
      <c r="F288" s="37"/>
      <c r="G288" s="37"/>
      <c r="H288" s="37"/>
      <c r="L288" s="159"/>
      <c r="M288" s="489"/>
      <c r="O288" s="250"/>
      <c r="R288" s="702" t="s">
        <v>559</v>
      </c>
      <c r="S288" s="504"/>
      <c r="AD288" s="139" t="s">
        <v>797</v>
      </c>
    </row>
    <row r="289" spans="4:19">
      <c r="D289" s="37"/>
      <c r="F289" s="37"/>
      <c r="G289" s="37"/>
      <c r="H289" s="37"/>
      <c r="M289" s="489" t="s">
        <v>444</v>
      </c>
      <c r="O289" s="147"/>
      <c r="R289" s="210" t="s">
        <v>131</v>
      </c>
      <c r="S289" s="490"/>
    </row>
    <row r="290" spans="4:19">
      <c r="D290" s="37"/>
      <c r="F290" s="37"/>
      <c r="G290" s="37"/>
      <c r="H290" s="37"/>
      <c r="L290" s="159"/>
      <c r="M290" s="214"/>
      <c r="N290" s="200"/>
      <c r="O290" s="200"/>
      <c r="P290" s="200"/>
      <c r="Q290" s="200"/>
      <c r="R290" s="200"/>
      <c r="S290" s="202"/>
    </row>
    <row r="291" spans="4:19">
      <c r="D291" s="37"/>
      <c r="F291" s="37"/>
      <c r="G291" s="37"/>
      <c r="H291" s="37"/>
      <c r="L291" s="156"/>
    </row>
    <row r="292" spans="4:19">
      <c r="D292" s="37"/>
      <c r="F292" s="37"/>
      <c r="G292" s="37"/>
      <c r="H292" s="37"/>
      <c r="L292" s="156"/>
    </row>
    <row r="293" spans="4:19">
      <c r="D293" s="37"/>
      <c r="F293" s="37"/>
      <c r="G293" s="37"/>
      <c r="H293" s="37"/>
      <c r="L293" s="156"/>
    </row>
    <row r="294" spans="4:19">
      <c r="D294" s="37"/>
      <c r="F294" s="37"/>
      <c r="G294" s="37"/>
      <c r="H294" s="37"/>
      <c r="L294" s="156"/>
    </row>
    <row r="295" spans="4:19">
      <c r="D295" s="37"/>
      <c r="F295" s="37"/>
      <c r="G295" s="37"/>
      <c r="H295" s="37"/>
      <c r="L295" s="156"/>
    </row>
    <row r="296" spans="4:19">
      <c r="D296" s="37"/>
      <c r="F296" s="37"/>
      <c r="G296" s="37"/>
      <c r="H296" s="37"/>
      <c r="L296" s="156"/>
    </row>
    <row r="297" spans="4:19">
      <c r="D297" s="37"/>
      <c r="F297" s="37"/>
      <c r="G297" s="37"/>
      <c r="H297" s="37"/>
      <c r="L297" s="156"/>
    </row>
    <row r="298" spans="4:19">
      <c r="D298" s="37"/>
      <c r="F298" s="37"/>
      <c r="G298" s="37"/>
      <c r="H298" s="37"/>
      <c r="L298" s="156"/>
    </row>
    <row r="299" spans="4:19">
      <c r="D299" s="37"/>
      <c r="F299" s="37"/>
      <c r="G299" s="37"/>
      <c r="H299" s="37"/>
      <c r="L299" s="156"/>
    </row>
    <row r="300" spans="4:19">
      <c r="D300" s="37"/>
      <c r="F300" s="37"/>
      <c r="G300" s="37"/>
      <c r="H300" s="37"/>
      <c r="L300" s="156"/>
    </row>
    <row r="301" spans="4:19">
      <c r="D301" s="37"/>
      <c r="F301" s="37"/>
      <c r="G301" s="37"/>
      <c r="H301" s="37"/>
      <c r="L301" s="156"/>
    </row>
    <row r="302" spans="4:19">
      <c r="D302" s="37"/>
      <c r="F302" s="37"/>
      <c r="G302" s="37"/>
      <c r="H302" s="37"/>
      <c r="L302" s="156"/>
    </row>
    <row r="303" spans="4:19">
      <c r="D303" s="37"/>
      <c r="F303" s="37"/>
      <c r="G303" s="37"/>
      <c r="H303" s="37"/>
      <c r="L303" s="156"/>
    </row>
    <row r="304" spans="4:19">
      <c r="D304" s="37"/>
      <c r="F304" s="37"/>
      <c r="G304" s="37"/>
      <c r="H304" s="37"/>
      <c r="L304" s="156"/>
    </row>
    <row r="305" spans="4:12">
      <c r="D305" s="37"/>
      <c r="F305" s="37"/>
      <c r="G305" s="37"/>
      <c r="H305" s="37"/>
      <c r="L305" s="156"/>
    </row>
    <row r="306" spans="4:12">
      <c r="D306" s="37"/>
      <c r="F306" s="37"/>
      <c r="G306" s="37"/>
      <c r="H306" s="37"/>
      <c r="L306" s="156"/>
    </row>
    <row r="307" spans="4:12">
      <c r="D307" s="37"/>
      <c r="F307" s="37"/>
      <c r="G307" s="37"/>
      <c r="H307" s="37"/>
      <c r="L307" s="156"/>
    </row>
    <row r="308" spans="4:12">
      <c r="D308" s="37"/>
      <c r="F308" s="37"/>
      <c r="G308" s="37"/>
      <c r="H308" s="37"/>
      <c r="L308" s="156"/>
    </row>
    <row r="309" spans="4:12">
      <c r="D309" s="37"/>
      <c r="F309" s="37"/>
      <c r="G309" s="37"/>
      <c r="H309" s="37"/>
      <c r="L309" s="156"/>
    </row>
    <row r="310" spans="4:12">
      <c r="D310" s="37"/>
      <c r="F310" s="37"/>
      <c r="G310" s="37"/>
      <c r="H310" s="37"/>
      <c r="L310" s="156"/>
    </row>
    <row r="311" spans="4:12">
      <c r="D311" s="37"/>
      <c r="F311" s="37"/>
      <c r="G311" s="37"/>
      <c r="H311" s="37"/>
      <c r="L311" s="156"/>
    </row>
    <row r="312" spans="4:12">
      <c r="D312" s="37"/>
      <c r="F312" s="37"/>
      <c r="G312" s="37"/>
      <c r="H312" s="37"/>
      <c r="L312" s="156"/>
    </row>
    <row r="313" spans="4:12">
      <c r="D313" s="37"/>
      <c r="F313" s="37"/>
      <c r="G313" s="37"/>
      <c r="H313" s="37"/>
      <c r="L313" s="156"/>
    </row>
    <row r="314" spans="4:12">
      <c r="D314" s="37"/>
      <c r="F314" s="37"/>
      <c r="G314" s="37"/>
      <c r="H314" s="37"/>
      <c r="L314" s="156"/>
    </row>
    <row r="315" spans="4:12">
      <c r="D315" s="37"/>
      <c r="F315" s="37"/>
      <c r="G315" s="37"/>
      <c r="H315" s="37"/>
      <c r="L315" s="156"/>
    </row>
    <row r="316" spans="4:12">
      <c r="D316" s="37"/>
      <c r="F316" s="37"/>
      <c r="G316" s="37"/>
      <c r="H316" s="37"/>
      <c r="L316" s="156"/>
    </row>
    <row r="317" spans="4:12">
      <c r="D317" s="37"/>
      <c r="F317" s="37"/>
      <c r="G317" s="37"/>
      <c r="H317" s="37"/>
      <c r="L317" s="156"/>
    </row>
    <row r="318" spans="4:12">
      <c r="D318" s="37"/>
      <c r="F318" s="37"/>
      <c r="G318" s="37"/>
      <c r="H318" s="37"/>
      <c r="L318" s="156"/>
    </row>
    <row r="319" spans="4:12">
      <c r="D319" s="37"/>
      <c r="F319" s="37"/>
      <c r="G319" s="37"/>
      <c r="H319" s="37"/>
      <c r="L319" s="156"/>
    </row>
    <row r="320" spans="4:12">
      <c r="D320" s="37"/>
      <c r="F320" s="37"/>
      <c r="G320" s="37"/>
      <c r="H320" s="37"/>
      <c r="L320" s="156"/>
    </row>
    <row r="321" spans="4:12">
      <c r="D321" s="37"/>
      <c r="F321" s="37"/>
      <c r="G321" s="37"/>
      <c r="H321" s="37"/>
      <c r="L321" s="156"/>
    </row>
    <row r="322" spans="4:12">
      <c r="D322" s="37"/>
      <c r="F322" s="37"/>
      <c r="G322" s="37"/>
      <c r="H322" s="37"/>
      <c r="L322" s="156"/>
    </row>
    <row r="323" spans="4:12">
      <c r="D323" s="37"/>
      <c r="F323" s="37"/>
      <c r="G323" s="37"/>
      <c r="H323" s="37"/>
      <c r="L323" s="156"/>
    </row>
    <row r="324" spans="4:12">
      <c r="D324" s="37"/>
      <c r="F324" s="37"/>
      <c r="G324" s="37"/>
      <c r="H324" s="37"/>
      <c r="L324" s="156"/>
    </row>
    <row r="325" spans="4:12">
      <c r="D325" s="37"/>
      <c r="F325" s="37"/>
      <c r="G325" s="37"/>
      <c r="H325" s="37"/>
      <c r="L325" s="156"/>
    </row>
    <row r="326" spans="4:12">
      <c r="D326" s="37"/>
      <c r="F326" s="37"/>
      <c r="G326" s="37"/>
      <c r="H326" s="37"/>
      <c r="L326" s="156"/>
    </row>
    <row r="327" spans="4:12">
      <c r="D327" s="37"/>
      <c r="F327" s="37"/>
      <c r="G327" s="37"/>
      <c r="H327" s="37"/>
      <c r="L327" s="156"/>
    </row>
    <row r="328" spans="4:12">
      <c r="D328" s="37"/>
      <c r="F328" s="37"/>
      <c r="G328" s="37"/>
      <c r="H328" s="37"/>
      <c r="L328" s="156"/>
    </row>
    <row r="329" spans="4:12">
      <c r="D329" s="37"/>
      <c r="F329" s="37"/>
      <c r="G329" s="37"/>
      <c r="H329" s="37"/>
      <c r="L329" s="156"/>
    </row>
    <row r="330" spans="4:12">
      <c r="D330" s="37"/>
      <c r="F330" s="37"/>
      <c r="G330" s="37"/>
      <c r="H330" s="37"/>
      <c r="L330" s="156"/>
    </row>
    <row r="331" spans="4:12">
      <c r="D331" s="37"/>
      <c r="F331" s="37"/>
      <c r="G331" s="37"/>
      <c r="H331" s="37"/>
      <c r="L331" s="156"/>
    </row>
    <row r="332" spans="4:12">
      <c r="D332" s="37"/>
      <c r="F332" s="37"/>
      <c r="G332" s="37"/>
      <c r="H332" s="37"/>
      <c r="L332" s="156"/>
    </row>
    <row r="333" spans="4:12">
      <c r="D333" s="37"/>
      <c r="F333" s="37"/>
      <c r="G333" s="37"/>
      <c r="H333" s="37"/>
      <c r="L333" s="156"/>
    </row>
    <row r="334" spans="4:12">
      <c r="D334" s="37"/>
      <c r="F334" s="37"/>
      <c r="G334" s="37"/>
      <c r="H334" s="37"/>
      <c r="L334" s="156"/>
    </row>
    <row r="335" spans="4:12">
      <c r="D335" s="37"/>
      <c r="F335" s="37"/>
      <c r="G335" s="37"/>
      <c r="H335" s="37"/>
      <c r="L335" s="156"/>
    </row>
    <row r="336" spans="4:12">
      <c r="D336" s="37"/>
      <c r="F336" s="37"/>
      <c r="G336" s="37"/>
      <c r="H336" s="37"/>
      <c r="L336" s="156"/>
    </row>
    <row r="337" spans="4:12">
      <c r="D337" s="37"/>
      <c r="F337" s="37"/>
      <c r="G337" s="37"/>
      <c r="H337" s="37"/>
      <c r="L337" s="156"/>
    </row>
    <row r="338" spans="4:12">
      <c r="D338" s="37"/>
      <c r="F338" s="37"/>
      <c r="G338" s="37"/>
      <c r="H338" s="37"/>
      <c r="L338" s="156"/>
    </row>
    <row r="339" spans="4:12">
      <c r="L339" s="156"/>
    </row>
    <row r="340" spans="4:12">
      <c r="L340" s="156"/>
    </row>
    <row r="341" spans="4:12">
      <c r="L341" s="156"/>
    </row>
    <row r="342" spans="4:12">
      <c r="L342" s="156"/>
    </row>
    <row r="343" spans="4:12">
      <c r="L343" s="156"/>
    </row>
    <row r="344" spans="4:12">
      <c r="L344" s="156"/>
    </row>
    <row r="345" spans="4:12">
      <c r="L345" s="156"/>
    </row>
    <row r="346" spans="4:12">
      <c r="L346" s="156"/>
    </row>
    <row r="347" spans="4:12">
      <c r="L347" s="156"/>
    </row>
    <row r="348" spans="4:12">
      <c r="L348" s="156"/>
    </row>
    <row r="349" spans="4:12">
      <c r="L349" s="156"/>
    </row>
    <row r="350" spans="4:12">
      <c r="L350" s="156"/>
    </row>
    <row r="351" spans="4:12">
      <c r="L351" s="156"/>
    </row>
    <row r="352" spans="4:12">
      <c r="L352" s="156"/>
    </row>
    <row r="353" spans="12:12">
      <c r="L353" s="156"/>
    </row>
    <row r="354" spans="12:12">
      <c r="L354" s="156"/>
    </row>
    <row r="355" spans="12:12">
      <c r="L355" s="156"/>
    </row>
    <row r="356" spans="12:12">
      <c r="L356" s="156"/>
    </row>
    <row r="357" spans="12:12">
      <c r="L357" s="156"/>
    </row>
  </sheetData>
  <sheetProtection algorithmName="SHA-512" hashValue="gPaWSy9p9w+c5vZJUWMcQaIDXUW3cggXhCeR4aIW8hPSUnvAjw4GRT6H7E3S/mL5yUeJM+61zgJprU5WRS/Qkg==" saltValue="5UCmkv9DhDmhzf6fu9MbPQ==" spinCount="100000" sheet="1" objects="1" scenarios="1"/>
  <mergeCells count="36">
    <mergeCell ref="F21:I22"/>
    <mergeCell ref="AJ90:AK90"/>
    <mergeCell ref="AH90:AI90"/>
    <mergeCell ref="E68:F68"/>
    <mergeCell ref="AE29:AF29"/>
    <mergeCell ref="AH89:AK89"/>
    <mergeCell ref="Z40:AC40"/>
    <mergeCell ref="Z51:AC51"/>
    <mergeCell ref="Z52:AC66"/>
    <mergeCell ref="N70:P70"/>
    <mergeCell ref="AB71:AC71"/>
    <mergeCell ref="AB78:AC78"/>
    <mergeCell ref="AB79:AC79"/>
    <mergeCell ref="X69:Z69"/>
    <mergeCell ref="M259:Q259"/>
    <mergeCell ref="H26:I26"/>
    <mergeCell ref="U254:U256"/>
    <mergeCell ref="S252:U252"/>
    <mergeCell ref="S253:T253"/>
    <mergeCell ref="R254:R256"/>
    <mergeCell ref="S90:U90"/>
    <mergeCell ref="M257:Q257"/>
    <mergeCell ref="M258:Q258"/>
    <mergeCell ref="M254:Q256"/>
    <mergeCell ref="T254:T256"/>
    <mergeCell ref="S254:S256"/>
    <mergeCell ref="H34:K34"/>
    <mergeCell ref="H33:K33"/>
    <mergeCell ref="H9:I9"/>
    <mergeCell ref="D4:E4"/>
    <mergeCell ref="D5:E5"/>
    <mergeCell ref="A1:F1"/>
    <mergeCell ref="A4:C4"/>
    <mergeCell ref="F4:G4"/>
    <mergeCell ref="A5:C5"/>
    <mergeCell ref="F5:G5"/>
  </mergeCells>
  <phoneticPr fontId="39" type="noConversion"/>
  <conditionalFormatting sqref="A81">
    <cfRule type="containsText" dxfId="65" priority="10" operator="containsText" text="maximum">
      <formula>NOT(ISERROR(SEARCH("maximum",A81)))</formula>
    </cfRule>
  </conditionalFormatting>
  <conditionalFormatting sqref="D25">
    <cfRule type="containsText" dxfId="64" priority="83" stopIfTrue="1" operator="containsText" text="above">
      <formula>NOT(ISERROR(SEARCH("above",D25)))</formula>
    </cfRule>
  </conditionalFormatting>
  <conditionalFormatting sqref="D36">
    <cfRule type="cellIs" dxfId="63" priority="157" stopIfTrue="1" operator="equal">
      <formula>$J$36</formula>
    </cfRule>
  </conditionalFormatting>
  <conditionalFormatting sqref="D37">
    <cfRule type="cellIs" dxfId="62" priority="4" operator="equal">
      <formula>$J$37</formula>
    </cfRule>
  </conditionalFormatting>
  <conditionalFormatting sqref="D40">
    <cfRule type="cellIs" dxfId="61" priority="3" operator="equal">
      <formula>$J$40</formula>
    </cfRule>
  </conditionalFormatting>
  <conditionalFormatting sqref="D41">
    <cfRule type="cellIs" dxfId="60" priority="1" operator="equal">
      <formula>$J$41</formula>
    </cfRule>
  </conditionalFormatting>
  <conditionalFormatting sqref="D42">
    <cfRule type="cellIs" dxfId="59" priority="2" operator="equal">
      <formula>$J$42</formula>
    </cfRule>
  </conditionalFormatting>
  <conditionalFormatting sqref="D44">
    <cfRule type="cellIs" dxfId="58" priority="167" stopIfTrue="1" operator="equal">
      <formula>$J$44</formula>
    </cfRule>
  </conditionalFormatting>
  <conditionalFormatting sqref="D51">
    <cfRule type="cellIs" dxfId="57" priority="162" stopIfTrue="1" operator="equal">
      <formula>$J$51</formula>
    </cfRule>
  </conditionalFormatting>
  <conditionalFormatting sqref="D56">
    <cfRule type="cellIs" dxfId="56" priority="165" stopIfTrue="1" operator="equal">
      <formula>$J$56</formula>
    </cfRule>
  </conditionalFormatting>
  <conditionalFormatting sqref="D57">
    <cfRule type="cellIs" dxfId="55" priority="166" stopIfTrue="1" operator="equal">
      <formula>$J$57</formula>
    </cfRule>
  </conditionalFormatting>
  <conditionalFormatting sqref="D83">
    <cfRule type="containsText" dxfId="54" priority="40" stopIfTrue="1" operator="containsText" text="REVIEW">
      <formula>NOT(ISERROR(SEARCH("REVIEW",D83)))</formula>
    </cfRule>
    <cfRule type="containsText" dxfId="53" priority="47" stopIfTrue="1" operator="containsText" text="FAIL">
      <formula>NOT(ISERROR(SEARCH("FAIL",D83)))</formula>
    </cfRule>
    <cfRule type="containsText" dxfId="52" priority="48" stopIfTrue="1" operator="containsText" text="PASS">
      <formula>NOT(ISERROR(SEARCH("PASS",D83)))</formula>
    </cfRule>
  </conditionalFormatting>
  <conditionalFormatting sqref="D85">
    <cfRule type="containsText" dxfId="51" priority="45" stopIfTrue="1" operator="containsText" text="FAIL">
      <formula>NOT(ISERROR(SEARCH("FAIL",D85)))</formula>
    </cfRule>
    <cfRule type="containsText" dxfId="50" priority="46" stopIfTrue="1" operator="containsText" text="PASS">
      <formula>NOT(ISERROR(SEARCH("PASS",D85)))</formula>
    </cfRule>
  </conditionalFormatting>
  <conditionalFormatting sqref="D87">
    <cfRule type="containsText" dxfId="49" priority="43" stopIfTrue="1" operator="containsText" text="FAIL">
      <formula>NOT(ISERROR(SEARCH("FAIL",D87)))</formula>
    </cfRule>
    <cfRule type="containsText" dxfId="48" priority="44" stopIfTrue="1" operator="containsText" text="PASS">
      <formula>NOT(ISERROR(SEARCH("PASS",D87)))</formula>
    </cfRule>
  </conditionalFormatting>
  <conditionalFormatting sqref="E107">
    <cfRule type="containsText" dxfId="47" priority="138" stopIfTrue="1" operator="containsText" text="Income">
      <formula>NOT(ISERROR(SEARCH("Income",E107)))</formula>
    </cfRule>
    <cfRule type="containsText" dxfId="46" priority="139" stopIfTrue="1" operator="containsText" text="Complete">
      <formula>NOT(ISERROR(SEARCH("Complete",E107)))</formula>
    </cfRule>
    <cfRule type="cellIs" dxfId="45" priority="140" stopIfTrue="1" operator="greaterThan">
      <formula>IF+#REF!&gt;0</formula>
    </cfRule>
  </conditionalFormatting>
  <conditionalFormatting sqref="F21">
    <cfRule type="expression" dxfId="44" priority="169" stopIfTrue="1">
      <formula>$R$47&lt;$R$48</formula>
    </cfRule>
    <cfRule type="expression" dxfId="43" priority="168" stopIfTrue="1">
      <formula>$R$47&gt;$R$48</formula>
    </cfRule>
  </conditionalFormatting>
  <conditionalFormatting sqref="G95">
    <cfRule type="containsText" dxfId="42" priority="25" stopIfTrue="1" operator="containsText" text="FAIL">
      <formula>NOT(ISERROR(SEARCH("FAIL",G95)))</formula>
    </cfRule>
    <cfRule type="containsText" dxfId="41" priority="24" stopIfTrue="1" operator="containsText" text="PASS">
      <formula>NOT(ISERROR(SEARCH("PASS",G95)))</formula>
    </cfRule>
  </conditionalFormatting>
  <conditionalFormatting sqref="G97">
    <cfRule type="containsText" dxfId="40" priority="7" operator="containsText" text="PASS">
      <formula>NOT(ISERROR(SEARCH("PASS",G97)))</formula>
    </cfRule>
    <cfRule type="containsText" dxfId="39" priority="8" operator="containsText" text="FAIL">
      <formula>NOT(ISERROR(SEARCH("FAIL",G97)))</formula>
    </cfRule>
  </conditionalFormatting>
  <conditionalFormatting sqref="G99">
    <cfRule type="containsText" dxfId="38" priority="6" operator="containsText" text="FAIL">
      <formula>NOT(ISERROR(SEARCH("FAIL",G99)))</formula>
    </cfRule>
    <cfRule type="containsText" dxfId="37" priority="5" operator="containsText" text="PASS">
      <formula>NOT(ISERROR(SEARCH("PASS",G99)))</formula>
    </cfRule>
  </conditionalFormatting>
  <conditionalFormatting sqref="H153">
    <cfRule type="cellIs" dxfId="36" priority="105" stopIfTrue="1" operator="lessThan">
      <formula>0</formula>
    </cfRule>
  </conditionalFormatting>
  <conditionalFormatting sqref="O87:O89 Q87:Q89">
    <cfRule type="cellIs" dxfId="35" priority="79" stopIfTrue="1" operator="lessThan">
      <formula>0</formula>
    </cfRule>
  </conditionalFormatting>
  <conditionalFormatting sqref="O94">
    <cfRule type="cellIs" dxfId="34" priority="78" stopIfTrue="1" operator="lessThan">
      <formula>0</formula>
    </cfRule>
  </conditionalFormatting>
  <conditionalFormatting sqref="O96">
    <cfRule type="cellIs" dxfId="33" priority="96" stopIfTrue="1" operator="lessThan">
      <formula>0</formula>
    </cfRule>
  </conditionalFormatting>
  <conditionalFormatting sqref="O99 U99">
    <cfRule type="cellIs" dxfId="32" priority="74" stopIfTrue="1" operator="lessThan">
      <formula>1</formula>
    </cfRule>
    <cfRule type="cellIs" dxfId="31" priority="75" stopIfTrue="1" operator="between">
      <formula>1</formula>
      <formula>1.1</formula>
    </cfRule>
    <cfRule type="cellIs" dxfId="30" priority="76" stopIfTrue="1" operator="greaterThan">
      <formula>1.1</formula>
    </cfRule>
  </conditionalFormatting>
  <conditionalFormatting sqref="P99">
    <cfRule type="containsText" dxfId="29" priority="69" stopIfTrue="1" operator="containsText" text="FAIL">
      <formula>NOT(ISERROR(SEARCH("FAIL",P99)))</formula>
    </cfRule>
    <cfRule type="containsText" dxfId="28" priority="70" stopIfTrue="1" operator="containsText" text="PASS">
      <formula>NOT(ISERROR(SEARCH("PASS",P99)))</formula>
    </cfRule>
    <cfRule type="containsText" dxfId="27" priority="68" stopIfTrue="1" operator="containsText" text="REFER">
      <formula>NOT(ISERROR(SEARCH("REFER",P99)))</formula>
    </cfRule>
  </conditionalFormatting>
  <conditionalFormatting sqref="P247">
    <cfRule type="cellIs" dxfId="26" priority="93" stopIfTrue="1" operator="lessThan">
      <formula>0</formula>
    </cfRule>
  </conditionalFormatting>
  <conditionalFormatting sqref="P267">
    <cfRule type="cellIs" dxfId="25" priority="94" stopIfTrue="1" operator="lessThan">
      <formula>0</formula>
    </cfRule>
  </conditionalFormatting>
  <conditionalFormatting sqref="R94">
    <cfRule type="cellIs" dxfId="24" priority="77" stopIfTrue="1" operator="lessThan">
      <formula>0</formula>
    </cfRule>
  </conditionalFormatting>
  <conditionalFormatting sqref="R96">
    <cfRule type="cellIs" dxfId="23" priority="95" stopIfTrue="1" operator="lessThan">
      <formula>0</formula>
    </cfRule>
  </conditionalFormatting>
  <conditionalFormatting sqref="R99">
    <cfRule type="cellIs" dxfId="22" priority="71" stopIfTrue="1" operator="lessThan">
      <formula>1</formula>
    </cfRule>
    <cfRule type="cellIs" dxfId="21" priority="72" stopIfTrue="1" operator="between">
      <formula>1</formula>
      <formula>1.1</formula>
    </cfRule>
    <cfRule type="cellIs" dxfId="20" priority="73" stopIfTrue="1" operator="greaterThan">
      <formula>1.1</formula>
    </cfRule>
  </conditionalFormatting>
  <conditionalFormatting sqref="R258:V258">
    <cfRule type="cellIs" dxfId="19" priority="101" stopIfTrue="1" operator="lessThan">
      <formula>0</formula>
    </cfRule>
  </conditionalFormatting>
  <conditionalFormatting sqref="S99">
    <cfRule type="containsText" dxfId="18" priority="67" stopIfTrue="1" operator="containsText" text="PASS">
      <formula>NOT(ISERROR(SEARCH("PASS",S99)))</formula>
    </cfRule>
    <cfRule type="containsText" dxfId="17" priority="66" stopIfTrue="1" operator="containsText" text="FAIL">
      <formula>NOT(ISERROR(SEARCH("FAIL",S99)))</formula>
    </cfRule>
    <cfRule type="containsText" dxfId="16" priority="65" stopIfTrue="1" operator="containsText" text="REVIEW">
      <formula>NOT(ISERROR(SEARCH("REVIEW",S99)))</formula>
    </cfRule>
  </conditionalFormatting>
  <conditionalFormatting sqref="T91">
    <cfRule type="cellIs" dxfId="15" priority="54" stopIfTrue="1" operator="lessThan">
      <formula>1</formula>
    </cfRule>
    <cfRule type="cellIs" dxfId="14" priority="56" stopIfTrue="1" operator="greaterThan">
      <formula>1.1</formula>
    </cfRule>
    <cfRule type="cellIs" dxfId="13" priority="55" stopIfTrue="1" operator="between">
      <formula>1</formula>
      <formula>1.1</formula>
    </cfRule>
  </conditionalFormatting>
  <conditionalFormatting sqref="T246">
    <cfRule type="expression" dxfId="12" priority="84" stopIfTrue="1">
      <formula>$U$246="FAIL"</formula>
    </cfRule>
    <cfRule type="expression" dxfId="11" priority="85" stopIfTrue="1">
      <formula>$U$246="PASS"</formula>
    </cfRule>
  </conditionalFormatting>
  <conditionalFormatting sqref="T267">
    <cfRule type="cellIs" dxfId="10" priority="92" stopIfTrue="1" operator="lessThan">
      <formula>0</formula>
    </cfRule>
  </conditionalFormatting>
  <conditionalFormatting sqref="U91:V91">
    <cfRule type="containsText" dxfId="9" priority="51" stopIfTrue="1" operator="containsText" text="FAIL">
      <formula>NOT(ISERROR(SEARCH("FAIL",U91)))</formula>
    </cfRule>
    <cfRule type="containsText" dxfId="8" priority="52" stopIfTrue="1" operator="containsText" text="REVIEW">
      <formula>NOT(ISERROR(SEARCH("REVIEW",U91)))</formula>
    </cfRule>
    <cfRule type="containsText" dxfId="7" priority="53" stopIfTrue="1" operator="containsText" text="PASS">
      <formula>NOT(ISERROR(SEARCH("PASS",U91)))</formula>
    </cfRule>
  </conditionalFormatting>
  <conditionalFormatting sqref="U246:V246">
    <cfRule type="containsText" dxfId="6" priority="87" stopIfTrue="1" operator="containsText" text="PASS">
      <formula>NOT(ISERROR(SEARCH("PASS",U246)))</formula>
    </cfRule>
    <cfRule type="containsText" dxfId="5" priority="88" stopIfTrue="1" operator="containsText" text="FAIL">
      <formula>NOT(ISERROR(SEARCH("FAIL",U246)))</formula>
    </cfRule>
  </conditionalFormatting>
  <conditionalFormatting sqref="V99">
    <cfRule type="containsText" dxfId="4" priority="62" stopIfTrue="1" operator="containsText" text="PASS">
      <formula>NOT(ISERROR(SEARCH("PASS",V99)))</formula>
    </cfRule>
    <cfRule type="containsText" dxfId="3" priority="60" stopIfTrue="1" operator="containsText" text="REVIEW">
      <formula>NOT(ISERROR(SEARCH("REVIEW",V99)))</formula>
    </cfRule>
    <cfRule type="containsText" dxfId="2" priority="61" stopIfTrue="1" operator="containsText" text="FAIL">
      <formula>NOT(ISERROR(SEARCH("FAIL",V99)))</formula>
    </cfRule>
  </conditionalFormatting>
  <conditionalFormatting sqref="X25">
    <cfRule type="containsText" dxfId="1" priority="50" stopIfTrue="1" operator="containsText" text="unaffordable">
      <formula>NOT(ISERROR(SEARCH("unaffordable",X25)))</formula>
    </cfRule>
  </conditionalFormatting>
  <conditionalFormatting sqref="X27">
    <cfRule type="containsText" dxfId="0" priority="49" stopIfTrue="1" operator="containsText" text="unaffordable">
      <formula>NOT(ISERROR(SEARCH("unaffordable",X27)))</formula>
    </cfRule>
  </conditionalFormatting>
  <dataValidations count="14">
    <dataValidation type="list" allowBlank="1" showInputMessage="1" showErrorMessage="1" sqref="I168:I172 I41 C32" xr:uid="{00000000-0002-0000-0400-000000000000}">
      <formula1>$AF$56:$AF$57</formula1>
    </dataValidation>
    <dataValidation type="list" allowBlank="1" showInputMessage="1" showErrorMessage="1" sqref="H74:H79" xr:uid="{00000000-0002-0000-0400-000001000000}">
      <formula1>$AG$72:$AG$73</formula1>
    </dataValidation>
    <dataValidation type="list" allowBlank="1" showInputMessage="1" showErrorMessage="1" sqref="U253:V253" xr:uid="{00000000-0002-0000-0400-000002000000}">
      <formula1>$S$84:$S$85</formula1>
    </dataValidation>
    <dataValidation type="list" allowBlank="1" showInputMessage="1" showErrorMessage="1" sqref="G72:G79" xr:uid="{00000000-0002-0000-0400-000003000000}">
      <formula1>$R$285:$R$289</formula1>
    </dataValidation>
    <dataValidation type="list" allowBlank="1" showInputMessage="1" showErrorMessage="1" sqref="F72:F79" xr:uid="{00000000-0002-0000-0400-000004000000}">
      <formula1>$P$285:$P$286</formula1>
    </dataValidation>
    <dataValidation allowBlank="1" showInputMessage="1" showErrorMessage="1" prompt="Cost of typical monthly shop." sqref="D36" xr:uid="{00000000-0002-0000-0400-000005000000}"/>
    <dataValidation allowBlank="1" showInputMessage="1" showErrorMessage="1" promptTitle="Please include" prompt="TV &amp; Internet subs e.g. TV Licence, SKY, Virgin Media, etc. _x000a_Other Streaming services such as Netflix, NOW TV, etc._x000a_Typical monthly socialising costs, e.g. meals out, takeaways, etc._x000a_Christmas &amp; birthday budgeting_x000a_Gym memberships_x000a_Magazine subs, etc." sqref="D51" xr:uid="{00000000-0002-0000-0400-000009000000}"/>
    <dataValidation allowBlank="1" showInputMessage="1" showErrorMessage="1" promptTitle="Please include" prompt="Average monthly spend on;_x000a_Home repairs and decorating_x000a_Furniture_x000a_White goods_x000a_Other electrical purchases" sqref="D57" xr:uid="{00000000-0002-0000-0400-00000B000000}"/>
    <dataValidation allowBlank="1" showInputMessage="1" showErrorMessage="1" prompt="Average monthly spend on clothing and shoes" sqref="D56" xr:uid="{00000000-0002-0000-0400-00000E000000}"/>
    <dataValidation allowBlank="1" showInputMessage="1" showErrorMessage="1" prompt="If the applicant is already retired or will retire after the mortgage term ends please leave blank." sqref="AA14 AA23" xr:uid="{00000000-0002-0000-0400-00000F000000}"/>
    <dataValidation allowBlank="1" showInputMessage="1" showErrorMessage="1" prompt="Please leave blank if already retired." sqref="AA21 AA12" xr:uid="{00000000-0002-0000-0400-000010000000}"/>
    <dataValidation type="list" allowBlank="1" showInputMessage="1" showErrorMessage="1" sqref="D68" xr:uid="{00000000-0002-0000-0400-000011000000}">
      <formula1>$AE$217:$AE$219</formula1>
    </dataValidation>
    <dataValidation allowBlank="1" showInputMessage="1" showErrorMessage="1" prompt="Complete Monthly Travel Costs Breakdown" sqref="D41:D42" xr:uid="{00000000-0002-0000-0400-000012000000}"/>
    <dataValidation type="list" allowBlank="1" showInputMessage="1" showErrorMessage="1" sqref="J30" xr:uid="{246DE44B-3FD8-41C3-85AF-3FBF27725D19}">
      <formula1>$U$26:$U$27</formula1>
    </dataValidation>
  </dataValidations>
  <pageMargins left="0.31496062992125984" right="0.39370078740157483" top="0.27559055118110237" bottom="0.19685039370078741" header="0.31496062992125984" footer="0.19685039370078741"/>
  <pageSetup paperSize="9" scale="65" fitToHeight="2" orientation="landscape" r:id="rId1"/>
  <headerFooter alignWithMargins="0"/>
  <rowBreaks count="1" manualBreakCount="1">
    <brk id="66" max="2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19477-43A2-410F-86E2-10FBCA2BDE3E}">
  <dimension ref="A1:AU285"/>
  <sheetViews>
    <sheetView zoomScaleNormal="100" workbookViewId="0">
      <pane xSplit="1" topLeftCell="AV1" activePane="topRight" state="frozen"/>
      <selection pane="topRight" activeCell="BI25" sqref="BI25"/>
    </sheetView>
  </sheetViews>
  <sheetFormatPr defaultColWidth="8.88671875" defaultRowHeight="13.2"/>
  <cols>
    <col min="1" max="1" width="44.109375" style="1039" hidden="1" customWidth="1"/>
    <col min="2" max="2" width="3.33203125" style="1039" hidden="1" customWidth="1"/>
    <col min="3" max="3" width="11.33203125" style="1039" hidden="1" customWidth="1"/>
    <col min="4" max="4" width="8.6640625" style="1039" hidden="1" customWidth="1"/>
    <col min="5" max="5" width="2.6640625" style="1039" hidden="1" customWidth="1"/>
    <col min="6" max="7" width="10.33203125" style="1039" hidden="1" customWidth="1"/>
    <col min="8" max="8" width="4.6640625" style="1039" hidden="1" customWidth="1"/>
    <col min="9" max="10" width="0" style="1039" hidden="1" customWidth="1"/>
    <col min="11" max="11" width="3.44140625" style="1039" hidden="1" customWidth="1"/>
    <col min="12" max="13" width="0" style="1039" hidden="1" customWidth="1"/>
    <col min="14" max="14" width="3.33203125" style="1039" hidden="1" customWidth="1"/>
    <col min="15" max="17" width="0" style="1039" hidden="1" customWidth="1"/>
    <col min="18" max="18" width="3.44140625" style="1039" hidden="1" customWidth="1"/>
    <col min="19" max="19" width="11.33203125" style="1039" hidden="1" customWidth="1"/>
    <col min="20" max="20" width="10.109375" style="1039" hidden="1" customWidth="1"/>
    <col min="21" max="21" width="2.44140625" style="1039" hidden="1" customWidth="1"/>
    <col min="22" max="22" width="0" style="1039" hidden="1" customWidth="1"/>
    <col min="23" max="23" width="11" style="1039" hidden="1" customWidth="1"/>
    <col min="24" max="24" width="0" style="1039" hidden="1" customWidth="1"/>
    <col min="25" max="25" width="10.109375" style="1039" hidden="1" customWidth="1"/>
    <col min="26" max="26" width="0" style="1039" hidden="1" customWidth="1"/>
    <col min="27" max="27" width="10.5546875" style="1039" hidden="1" customWidth="1"/>
    <col min="28" max="28" width="0" style="1039" hidden="1" customWidth="1"/>
    <col min="29" max="29" width="11.5546875" style="1039" hidden="1" customWidth="1"/>
    <col min="30" max="30" width="0" style="1039" hidden="1" customWidth="1"/>
    <col min="31" max="31" width="11.5546875" style="1039" hidden="1" customWidth="1"/>
    <col min="32" max="32" width="9.44140625" style="1039" hidden="1" customWidth="1"/>
    <col min="33" max="33" width="0" style="1039" hidden="1" customWidth="1"/>
    <col min="34" max="35" width="9.44140625" style="1039" hidden="1" customWidth="1"/>
    <col min="36" max="41" width="0" style="1039" hidden="1" customWidth="1"/>
    <col min="42" max="43" width="9" style="1039" hidden="1" customWidth="1"/>
    <col min="44" max="45" width="9.88671875" style="1039" hidden="1" customWidth="1"/>
    <col min="46" max="47" width="0" style="1039" hidden="1" customWidth="1"/>
    <col min="48" max="16384" width="8.88671875" style="1039"/>
  </cols>
  <sheetData>
    <row r="1" spans="1:47">
      <c r="C1" s="1305" t="s">
        <v>912</v>
      </c>
      <c r="D1" s="1305"/>
      <c r="E1" s="1305"/>
      <c r="F1" s="1305"/>
      <c r="G1" s="1305"/>
      <c r="I1" s="1306" t="s">
        <v>146</v>
      </c>
      <c r="J1" s="1306"/>
      <c r="L1" s="1307" t="s">
        <v>913</v>
      </c>
      <c r="M1" s="1307"/>
      <c r="N1" s="1307"/>
      <c r="O1" s="1307"/>
      <c r="P1" s="1307"/>
      <c r="Q1" s="1307"/>
      <c r="R1" s="1307"/>
      <c r="S1" s="1307"/>
      <c r="T1" s="1307"/>
      <c r="U1" s="1043"/>
      <c r="V1" s="1308" t="s">
        <v>914</v>
      </c>
      <c r="W1" s="1309"/>
      <c r="X1" s="1308" t="s">
        <v>915</v>
      </c>
      <c r="Y1" s="1309"/>
      <c r="Z1" s="1044"/>
      <c r="AB1" s="1310" t="s">
        <v>912</v>
      </c>
      <c r="AC1" s="1310"/>
      <c r="AD1" s="1310"/>
      <c r="AE1" s="1298" t="s">
        <v>916</v>
      </c>
      <c r="AF1" s="1299"/>
      <c r="AG1" s="1299"/>
      <c r="AH1" s="1299"/>
      <c r="AI1" s="1300"/>
      <c r="AJ1" s="1301" t="s">
        <v>917</v>
      </c>
      <c r="AL1" s="1302" t="s">
        <v>918</v>
      </c>
      <c r="AM1" s="1302"/>
      <c r="AN1" s="1302"/>
      <c r="AO1" s="1298" t="s">
        <v>71</v>
      </c>
      <c r="AP1" s="1299"/>
      <c r="AQ1" s="1299"/>
      <c r="AR1" s="1299"/>
      <c r="AS1" s="1300"/>
      <c r="AT1" s="1301" t="s">
        <v>917</v>
      </c>
    </row>
    <row r="2" spans="1:47" ht="26.4" customHeight="1">
      <c r="A2" s="1039" t="s">
        <v>919</v>
      </c>
      <c r="C2" s="1303" t="s">
        <v>920</v>
      </c>
      <c r="D2" s="1303"/>
      <c r="E2" s="1045"/>
      <c r="F2" s="1303" t="s">
        <v>921</v>
      </c>
      <c r="G2" s="1303"/>
      <c r="H2" s="1046"/>
      <c r="I2" s="1041"/>
      <c r="J2" s="1041"/>
      <c r="K2" s="1046"/>
      <c r="L2" s="1304" t="s">
        <v>922</v>
      </c>
      <c r="M2" s="1304"/>
      <c r="N2" s="1047"/>
      <c r="O2" s="1304" t="s">
        <v>923</v>
      </c>
      <c r="P2" s="1304"/>
      <c r="Q2" s="1304"/>
      <c r="R2" s="1047"/>
      <c r="S2" s="1304" t="s">
        <v>924</v>
      </c>
      <c r="T2" s="1304"/>
      <c r="U2" s="1048"/>
      <c r="V2" s="1049" t="s">
        <v>922</v>
      </c>
      <c r="W2" s="1049" t="s">
        <v>923</v>
      </c>
      <c r="X2" s="1049" t="s">
        <v>922</v>
      </c>
      <c r="Y2" s="1049" t="s">
        <v>923</v>
      </c>
      <c r="Z2" s="1050"/>
      <c r="AB2" s="1319" t="s">
        <v>925</v>
      </c>
      <c r="AC2" s="1319" t="s">
        <v>926</v>
      </c>
      <c r="AD2" s="1322" t="s">
        <v>927</v>
      </c>
      <c r="AE2" s="1051">
        <v>0</v>
      </c>
      <c r="AF2" s="1052">
        <v>1</v>
      </c>
      <c r="AG2" s="1052">
        <v>2</v>
      </c>
      <c r="AH2" s="1052">
        <v>3</v>
      </c>
      <c r="AI2" s="1052">
        <v>4</v>
      </c>
      <c r="AJ2" s="1301"/>
      <c r="AL2" s="1323" t="s">
        <v>925</v>
      </c>
      <c r="AM2" s="1323" t="s">
        <v>926</v>
      </c>
      <c r="AN2" s="1323" t="s">
        <v>927</v>
      </c>
      <c r="AO2" s="1051">
        <v>0</v>
      </c>
      <c r="AP2" s="1052">
        <v>1</v>
      </c>
      <c r="AQ2" s="1052">
        <v>2</v>
      </c>
      <c r="AR2" s="1052">
        <v>3</v>
      </c>
      <c r="AS2" s="1052">
        <v>4</v>
      </c>
      <c r="AT2" s="1301"/>
    </row>
    <row r="3" spans="1:47">
      <c r="A3" s="1039" t="s">
        <v>928</v>
      </c>
      <c r="C3" s="1040" t="s">
        <v>929</v>
      </c>
      <c r="D3" s="1040" t="s">
        <v>930</v>
      </c>
      <c r="E3" s="1044"/>
      <c r="F3" s="1040" t="s">
        <v>929</v>
      </c>
      <c r="G3" s="1040" t="s">
        <v>931</v>
      </c>
      <c r="H3" s="1044"/>
      <c r="I3" s="1041" t="s">
        <v>929</v>
      </c>
      <c r="J3" s="1041" t="s">
        <v>931</v>
      </c>
      <c r="K3" s="1044"/>
      <c r="L3" s="1042" t="s">
        <v>932</v>
      </c>
      <c r="M3" s="1042" t="s">
        <v>932</v>
      </c>
      <c r="N3" s="1042"/>
      <c r="O3" s="1042" t="s">
        <v>932</v>
      </c>
      <c r="P3" s="1042" t="s">
        <v>932</v>
      </c>
      <c r="Q3" s="1042" t="s">
        <v>932</v>
      </c>
      <c r="R3" s="1042"/>
      <c r="S3" s="1042" t="s">
        <v>933</v>
      </c>
      <c r="T3" s="1042" t="s">
        <v>932</v>
      </c>
      <c r="U3" s="1048"/>
      <c r="V3" s="1053" t="s">
        <v>933</v>
      </c>
      <c r="W3" s="1054" t="s">
        <v>933</v>
      </c>
      <c r="X3" s="1053" t="s">
        <v>933</v>
      </c>
      <c r="Y3" s="1054" t="s">
        <v>933</v>
      </c>
      <c r="Z3" s="1050"/>
      <c r="AB3" s="1320"/>
      <c r="AC3" s="1320"/>
      <c r="AD3" s="1320"/>
      <c r="AE3" s="1324" t="s">
        <v>74</v>
      </c>
      <c r="AF3" s="1325"/>
      <c r="AG3" s="1325"/>
      <c r="AH3" s="1325"/>
      <c r="AI3" s="1326"/>
      <c r="AJ3" s="1301"/>
      <c r="AL3" s="1323"/>
      <c r="AM3" s="1323"/>
      <c r="AN3" s="1323"/>
      <c r="AO3" s="1311" t="s">
        <v>74</v>
      </c>
      <c r="AP3" s="1312"/>
      <c r="AQ3" s="1312"/>
      <c r="AR3" s="1312"/>
      <c r="AS3" s="1313"/>
      <c r="AT3" s="1301"/>
    </row>
    <row r="4" spans="1:47">
      <c r="A4" s="1039" t="s">
        <v>934</v>
      </c>
      <c r="C4" s="1040" t="s">
        <v>935</v>
      </c>
      <c r="D4" s="1040" t="s">
        <v>936</v>
      </c>
      <c r="E4" s="1044"/>
      <c r="F4" s="1040" t="s">
        <v>935</v>
      </c>
      <c r="G4" s="1040" t="s">
        <v>936</v>
      </c>
      <c r="H4" s="1044"/>
      <c r="I4" s="1041" t="s">
        <v>935</v>
      </c>
      <c r="J4" s="1041" t="s">
        <v>936</v>
      </c>
      <c r="K4" s="1044"/>
      <c r="L4" s="1042" t="s">
        <v>937</v>
      </c>
      <c r="M4" s="1042" t="s">
        <v>938</v>
      </c>
      <c r="N4" s="1042"/>
      <c r="O4" s="1042" t="s">
        <v>937</v>
      </c>
      <c r="P4" s="1042" t="s">
        <v>938</v>
      </c>
      <c r="Q4" s="1042" t="s">
        <v>939</v>
      </c>
      <c r="R4" s="1042"/>
      <c r="S4" s="1042" t="s">
        <v>940</v>
      </c>
      <c r="T4" s="1042" t="s">
        <v>940</v>
      </c>
      <c r="U4" s="1048"/>
      <c r="V4" s="1055" t="s">
        <v>940</v>
      </c>
      <c r="W4" s="1055" t="s">
        <v>940</v>
      </c>
      <c r="X4" s="1055" t="s">
        <v>940</v>
      </c>
      <c r="Y4" s="1055" t="s">
        <v>940</v>
      </c>
      <c r="Z4" s="1050"/>
      <c r="AB4" s="1321"/>
      <c r="AC4" s="1321"/>
      <c r="AD4" s="1321"/>
      <c r="AE4" s="1056">
        <v>0</v>
      </c>
      <c r="AF4" s="1057">
        <v>1</v>
      </c>
      <c r="AG4" s="1057">
        <v>2</v>
      </c>
      <c r="AH4" s="1057">
        <v>3</v>
      </c>
      <c r="AI4" s="1057">
        <v>4</v>
      </c>
      <c r="AJ4" s="1301"/>
      <c r="AL4" s="1323"/>
      <c r="AM4" s="1323"/>
      <c r="AN4" s="1323"/>
      <c r="AO4" s="1056">
        <v>0</v>
      </c>
      <c r="AP4" s="1057">
        <v>1</v>
      </c>
      <c r="AQ4" s="1057">
        <v>2</v>
      </c>
      <c r="AR4" s="1057">
        <v>3</v>
      </c>
      <c r="AS4" s="1057">
        <v>4</v>
      </c>
      <c r="AT4" s="1301"/>
    </row>
    <row r="5" spans="1:47" ht="12" customHeight="1">
      <c r="C5" s="1044"/>
      <c r="D5" s="1044"/>
      <c r="E5" s="1044"/>
      <c r="F5" s="1044"/>
      <c r="G5" s="1044"/>
      <c r="H5" s="1044"/>
      <c r="I5" s="1044"/>
      <c r="J5" s="1044"/>
      <c r="K5" s="1044"/>
      <c r="L5" s="1042" t="s">
        <v>941</v>
      </c>
      <c r="M5" s="1042" t="s">
        <v>942</v>
      </c>
      <c r="N5" s="1042"/>
      <c r="O5" s="1042" t="s">
        <v>941</v>
      </c>
      <c r="P5" s="1042" t="s">
        <v>940</v>
      </c>
      <c r="Q5" s="1042" t="s">
        <v>942</v>
      </c>
      <c r="R5" s="1042"/>
      <c r="S5" s="1042"/>
      <c r="T5" s="1042"/>
      <c r="U5" s="1048"/>
      <c r="V5" s="1058"/>
      <c r="W5" s="1058"/>
      <c r="X5" s="1059"/>
      <c r="Y5" s="1059"/>
      <c r="Z5" s="1050"/>
      <c r="AB5" s="1060"/>
      <c r="AC5" s="1060"/>
      <c r="AD5" s="1060"/>
      <c r="AJ5" s="1061"/>
      <c r="AL5" s="1062"/>
      <c r="AM5" s="1062"/>
      <c r="AN5" s="1062"/>
      <c r="AT5" s="1061"/>
    </row>
    <row r="6" spans="1:47" ht="12" customHeight="1">
      <c r="C6" s="1050"/>
      <c r="D6" s="1050"/>
      <c r="E6" s="1050"/>
      <c r="F6" s="1050"/>
      <c r="G6" s="1050"/>
      <c r="H6" s="1050"/>
      <c r="I6" s="1050"/>
      <c r="J6" s="1050"/>
      <c r="K6" s="1050"/>
      <c r="L6" s="1063"/>
      <c r="M6" s="1063" t="s">
        <v>940</v>
      </c>
      <c r="N6" s="1063"/>
      <c r="O6" s="1063"/>
      <c r="P6" s="1063"/>
      <c r="Q6" s="1063" t="s">
        <v>940</v>
      </c>
      <c r="R6" s="1063"/>
      <c r="S6" s="1063"/>
      <c r="T6" s="1063"/>
      <c r="U6" s="1048"/>
      <c r="V6" s="1058"/>
      <c r="W6" s="1058"/>
      <c r="X6" s="1059"/>
      <c r="Y6" s="1059"/>
      <c r="Z6" s="1050"/>
      <c r="AB6" s="1060"/>
      <c r="AC6" s="1060"/>
      <c r="AD6" s="1060"/>
      <c r="AE6" s="1050"/>
      <c r="AJ6" s="1061"/>
      <c r="AL6" s="1062"/>
      <c r="AM6" s="1062"/>
      <c r="AN6" s="1062"/>
      <c r="AT6" s="1061"/>
    </row>
    <row r="7" spans="1:47" ht="12" customHeight="1">
      <c r="A7" s="1064" t="s">
        <v>943</v>
      </c>
      <c r="C7" s="1050"/>
      <c r="D7" s="1050"/>
      <c r="E7" s="1050"/>
      <c r="F7" s="1050"/>
      <c r="G7" s="1050"/>
      <c r="H7" s="1050"/>
      <c r="I7" s="1050"/>
      <c r="J7" s="1050"/>
      <c r="K7" s="1050"/>
      <c r="L7" s="1050"/>
      <c r="M7" s="1050"/>
      <c r="N7" s="1050"/>
      <c r="O7" s="1050"/>
      <c r="P7" s="1050"/>
      <c r="Q7" s="1050"/>
      <c r="R7" s="1050"/>
      <c r="S7" s="1050"/>
      <c r="T7" s="1050"/>
      <c r="U7" s="1048"/>
      <c r="V7" s="1059"/>
      <c r="W7" s="1059"/>
      <c r="X7" s="1059"/>
      <c r="Y7" s="1059"/>
      <c r="Z7" s="1050"/>
      <c r="AB7" s="1060"/>
      <c r="AC7" s="1060"/>
      <c r="AD7" s="1060"/>
      <c r="AE7" s="1314" t="s">
        <v>944</v>
      </c>
      <c r="AF7" s="1314"/>
      <c r="AG7" s="1314"/>
      <c r="AH7" s="1314"/>
      <c r="AI7" s="1314"/>
      <c r="AJ7" s="1061"/>
      <c r="AL7" s="1062"/>
      <c r="AM7" s="1062"/>
      <c r="AN7" s="1062"/>
      <c r="AO7" s="1315" t="s">
        <v>944</v>
      </c>
      <c r="AP7" s="1315"/>
      <c r="AQ7" s="1315"/>
      <c r="AR7" s="1315"/>
      <c r="AS7" s="1315"/>
      <c r="AT7" s="1061"/>
    </row>
    <row r="8" spans="1:47">
      <c r="U8" s="1065"/>
      <c r="V8" s="1316" t="s">
        <v>945</v>
      </c>
      <c r="W8" s="1317"/>
      <c r="X8" s="1316" t="s">
        <v>946</v>
      </c>
      <c r="Y8" s="1317"/>
      <c r="AB8" s="1060"/>
      <c r="AC8" s="1066"/>
      <c r="AD8" s="1066"/>
      <c r="AJ8" s="1061"/>
      <c r="AL8" s="1062"/>
      <c r="AM8" s="1062"/>
      <c r="AN8" s="1062"/>
      <c r="AT8" s="1061"/>
    </row>
    <row r="9" spans="1:47">
      <c r="A9" s="1318" t="s">
        <v>947</v>
      </c>
      <c r="B9" s="1318"/>
      <c r="C9" s="1068">
        <v>34.5</v>
      </c>
      <c r="D9" s="1068">
        <v>60.8</v>
      </c>
      <c r="E9" s="1069"/>
      <c r="F9" s="1068">
        <v>35</v>
      </c>
      <c r="G9" s="1068">
        <v>69</v>
      </c>
      <c r="H9" s="1069"/>
      <c r="I9" s="1070">
        <v>33.5</v>
      </c>
      <c r="J9" s="1070">
        <v>63.7</v>
      </c>
      <c r="K9" s="1069"/>
      <c r="L9" s="1071">
        <v>42.7</v>
      </c>
      <c r="M9" s="1071">
        <v>52.3</v>
      </c>
      <c r="N9" s="1069"/>
      <c r="O9" s="1071">
        <v>74.7</v>
      </c>
      <c r="P9" s="1071">
        <v>86.3</v>
      </c>
      <c r="Q9" s="1071">
        <v>85.5</v>
      </c>
      <c r="R9" s="1069"/>
      <c r="S9" s="1071">
        <v>87.9</v>
      </c>
      <c r="T9" s="1071">
        <v>106.1</v>
      </c>
      <c r="U9" s="1072"/>
      <c r="V9" s="1073">
        <f>AVERAGE(C9,F9)</f>
        <v>34.75</v>
      </c>
      <c r="W9" s="1074">
        <f>AVERAGE(D9,G9)</f>
        <v>64.900000000000006</v>
      </c>
      <c r="X9" s="1073">
        <f>I9</f>
        <v>33.5</v>
      </c>
      <c r="Y9" s="1074">
        <f>J9</f>
        <v>63.7</v>
      </c>
      <c r="Z9" s="1069"/>
      <c r="AB9" s="1075">
        <f>V9</f>
        <v>34.75</v>
      </c>
      <c r="AC9" s="1076">
        <f>AVERAGE((W9-V9),(S9-W9))</f>
        <v>26.575000000000003</v>
      </c>
      <c r="AD9" s="1075">
        <f>MAX(0,(AVERAGE(L9-V9,(M9-L9),(O9-W9),(P9-O9),(Q9-P9),(T9-S9))))</f>
        <v>9.3916666666666639</v>
      </c>
      <c r="AE9" s="1077">
        <v>0</v>
      </c>
      <c r="AF9" s="1077">
        <f>SUM(AC9+AJ9*$AF$2)</f>
        <v>34.75</v>
      </c>
      <c r="AG9" s="1077">
        <f>SUM(AJ9+AC9*$AG$2)</f>
        <v>61.325000000000003</v>
      </c>
      <c r="AH9" s="1077">
        <f>SUM(AJ9+AC9*$AH$2)</f>
        <v>87.9</v>
      </c>
      <c r="AI9" s="1077">
        <f>SUM(AJ9+AC9*$AI$2)</f>
        <v>114.47500000000001</v>
      </c>
      <c r="AJ9" s="1078">
        <f>SUM(AB9-AC9)</f>
        <v>8.1749999999999972</v>
      </c>
      <c r="AK9" s="1039" t="s">
        <v>948</v>
      </c>
      <c r="AL9" s="1079">
        <f>X9</f>
        <v>33.5</v>
      </c>
      <c r="AM9" s="1079">
        <f>AVERAGE((Y9-I9),(S9-J9))</f>
        <v>27.200000000000003</v>
      </c>
      <c r="AN9" s="1079">
        <f>MAX(0,(AVERAGE(L9-I9,(M9-L9),(O9-J9),(P9-O9),(Q9-P9),(T9-S9))))</f>
        <v>9.7999999999999972</v>
      </c>
      <c r="AO9" s="1077">
        <v>0</v>
      </c>
      <c r="AP9" s="1077">
        <f>SUM(AT9+AM9*$AP$2)</f>
        <v>33.5</v>
      </c>
      <c r="AQ9" s="1077">
        <f>SUM(AT9+AM9*$AQ$2)</f>
        <v>60.7</v>
      </c>
      <c r="AR9" s="1077">
        <f>SUM(AT9+AM9*$AR$2)</f>
        <v>87.9</v>
      </c>
      <c r="AS9" s="1077">
        <f>SUM(AT9+AM9*$AS$2)</f>
        <v>115.10000000000001</v>
      </c>
      <c r="AT9" s="1078">
        <f>SUM(AL9-AM9)</f>
        <v>6.2999999999999972</v>
      </c>
      <c r="AU9" s="1039" t="s">
        <v>948</v>
      </c>
    </row>
    <row r="10" spans="1:47">
      <c r="C10" s="1068"/>
      <c r="D10" s="1068"/>
      <c r="E10" s="1069"/>
      <c r="F10" s="1068"/>
      <c r="G10" s="1068"/>
      <c r="H10" s="1069"/>
      <c r="I10" s="1070"/>
      <c r="J10" s="1070"/>
      <c r="K10" s="1069"/>
      <c r="L10" s="1071"/>
      <c r="M10" s="1071"/>
      <c r="N10" s="1069"/>
      <c r="O10" s="1071"/>
      <c r="P10" s="1071"/>
      <c r="Q10" s="1071"/>
      <c r="R10" s="1069"/>
      <c r="S10" s="1071"/>
      <c r="T10" s="1071"/>
      <c r="U10" s="1072"/>
      <c r="V10" s="1073"/>
      <c r="W10" s="1074"/>
      <c r="X10" s="1073"/>
      <c r="Y10" s="1074"/>
      <c r="Z10" s="1069"/>
      <c r="AB10" s="1075"/>
      <c r="AC10" s="1076"/>
      <c r="AD10" s="1075"/>
      <c r="AE10" s="1080">
        <v>0</v>
      </c>
      <c r="AF10" s="1081">
        <f>SUM(AD9)*$AF$4</f>
        <v>9.3916666666666639</v>
      </c>
      <c r="AG10" s="1081">
        <f>SUM(AD9)*$AG$4</f>
        <v>18.783333333333328</v>
      </c>
      <c r="AH10" s="1081">
        <f>SUM(AD9)*$AH$4</f>
        <v>28.17499999999999</v>
      </c>
      <c r="AI10" s="1081">
        <f>SUM(AD9)*$AI$4</f>
        <v>37.566666666666656</v>
      </c>
      <c r="AJ10" s="1078"/>
      <c r="AK10" s="1039" t="s">
        <v>948</v>
      </c>
      <c r="AL10" s="1079"/>
      <c r="AM10" s="1079"/>
      <c r="AN10" s="1079"/>
      <c r="AO10" s="1080">
        <v>0</v>
      </c>
      <c r="AP10" s="1081">
        <f>SUM(AN9*$AP$4)</f>
        <v>9.7999999999999972</v>
      </c>
      <c r="AQ10" s="1081">
        <f>SUM(AN9*$AQ$4)</f>
        <v>19.599999999999994</v>
      </c>
      <c r="AR10" s="1081">
        <f>SUM(AN9*$AR$4)</f>
        <v>29.399999999999991</v>
      </c>
      <c r="AS10" s="1081">
        <f>SUM(AN9*$AS$4)</f>
        <v>39.199999999999989</v>
      </c>
      <c r="AT10" s="1078"/>
      <c r="AU10" s="1039" t="s">
        <v>948</v>
      </c>
    </row>
    <row r="11" spans="1:47">
      <c r="A11" s="1318" t="s">
        <v>949</v>
      </c>
      <c r="B11" s="1318"/>
      <c r="C11" s="1068">
        <v>5.4</v>
      </c>
      <c r="D11" s="1068">
        <v>10.5</v>
      </c>
      <c r="E11" s="1069"/>
      <c r="F11" s="1068">
        <v>7.7</v>
      </c>
      <c r="G11" s="1068">
        <v>15.6</v>
      </c>
      <c r="H11" s="1069"/>
      <c r="I11" s="1070">
        <v>10</v>
      </c>
      <c r="J11" s="1070">
        <v>14.5</v>
      </c>
      <c r="K11" s="1069"/>
      <c r="L11" s="1071">
        <v>4.4000000000000004</v>
      </c>
      <c r="M11" s="1071">
        <v>4.5</v>
      </c>
      <c r="N11" s="1069"/>
      <c r="O11" s="1071">
        <v>11.7</v>
      </c>
      <c r="P11" s="1071">
        <v>12</v>
      </c>
      <c r="Q11" s="1071">
        <v>9.9</v>
      </c>
      <c r="R11" s="1069"/>
      <c r="S11" s="1071">
        <v>17.899999999999999</v>
      </c>
      <c r="T11" s="1071">
        <v>15.1</v>
      </c>
      <c r="U11" s="1072"/>
      <c r="V11" s="1073">
        <f t="shared" ref="V11:W29" si="0">AVERAGE(C11,F11)</f>
        <v>6.5500000000000007</v>
      </c>
      <c r="W11" s="1074">
        <f t="shared" si="0"/>
        <v>13.05</v>
      </c>
      <c r="X11" s="1073">
        <f t="shared" ref="X11:Y39" si="1">I11</f>
        <v>10</v>
      </c>
      <c r="Y11" s="1074">
        <f t="shared" si="1"/>
        <v>14.5</v>
      </c>
      <c r="Z11" s="1069"/>
      <c r="AB11" s="1075">
        <f t="shared" ref="AB11:AB42" si="2">V11</f>
        <v>6.5500000000000007</v>
      </c>
      <c r="AC11" s="1076">
        <f t="shared" ref="AC11:AC29" si="3">AVERAGE((W11-V11),(S11-W11))</f>
        <v>5.6749999999999989</v>
      </c>
      <c r="AD11" s="1075">
        <f t="shared" ref="AD11:AD42" si="4">MAX(0,(AVERAGE(L11-V11,(M11-L11),(O11-W11),(P11-O11),(Q11-P11),(T11-S11))))</f>
        <v>0</v>
      </c>
      <c r="AE11" s="1077">
        <v>0</v>
      </c>
      <c r="AF11" s="1077">
        <f>SUM(AC11+AJ11*$AF$2)</f>
        <v>6.5500000000000007</v>
      </c>
      <c r="AG11" s="1077">
        <f>SUM(AJ11+AC11*$AG$2)</f>
        <v>12.225</v>
      </c>
      <c r="AH11" s="1077">
        <f>SUM(AJ11+AC11*$AH$2)</f>
        <v>17.899999999999999</v>
      </c>
      <c r="AI11" s="1077">
        <f>SUM(AJ11+AC11*$AI$2)</f>
        <v>23.574999999999996</v>
      </c>
      <c r="AJ11" s="1078">
        <f>SUM(AB11-AC11)</f>
        <v>0.87500000000000178</v>
      </c>
      <c r="AK11" s="1039" t="s">
        <v>948</v>
      </c>
      <c r="AL11" s="1079">
        <f t="shared" ref="AL11:AL29" si="5">X11</f>
        <v>10</v>
      </c>
      <c r="AM11" s="1079">
        <f t="shared" ref="AM11:AM39" si="6">AVERAGE((Y11-I11),(S11-J11))</f>
        <v>3.9499999999999993</v>
      </c>
      <c r="AN11" s="1079">
        <f t="shared" ref="AN11:AN36" si="7">MAX(0,(AVERAGE(L11-I11,(M11-L11),(O11-J11),(P11-O11),(Q11-P11),(T11-S11))))</f>
        <v>0</v>
      </c>
      <c r="AO11" s="1077">
        <v>0</v>
      </c>
      <c r="AP11" s="1077">
        <f>SUM(AT11+AM11*$AP$2)</f>
        <v>10</v>
      </c>
      <c r="AQ11" s="1077">
        <f>SUM(AT11+AM11*$AQ$2)</f>
        <v>13.95</v>
      </c>
      <c r="AR11" s="1077">
        <f>SUM(AT11+AM11*$AR$2)</f>
        <v>17.899999999999999</v>
      </c>
      <c r="AS11" s="1077">
        <f>SUM(AT11+AM11*$AS$2)</f>
        <v>21.849999999999998</v>
      </c>
      <c r="AT11" s="1078">
        <f t="shared" ref="AT11:AT36" si="8">SUM(AL11-AM11)</f>
        <v>6.0500000000000007</v>
      </c>
      <c r="AU11" s="1039" t="s">
        <v>948</v>
      </c>
    </row>
    <row r="12" spans="1:47">
      <c r="C12" s="1068"/>
      <c r="D12" s="1068"/>
      <c r="E12" s="1069"/>
      <c r="F12" s="1068"/>
      <c r="G12" s="1068"/>
      <c r="H12" s="1069"/>
      <c r="I12" s="1070"/>
      <c r="J12" s="1070"/>
      <c r="K12" s="1069"/>
      <c r="L12" s="1071"/>
      <c r="M12" s="1071"/>
      <c r="N12" s="1069"/>
      <c r="O12" s="1071"/>
      <c r="P12" s="1071"/>
      <c r="Q12" s="1071"/>
      <c r="R12" s="1069"/>
      <c r="S12" s="1071"/>
      <c r="T12" s="1071"/>
      <c r="U12" s="1072"/>
      <c r="V12" s="1073"/>
      <c r="W12" s="1074"/>
      <c r="X12" s="1073"/>
      <c r="Y12" s="1074"/>
      <c r="Z12" s="1069"/>
      <c r="AB12" s="1075"/>
      <c r="AC12" s="1076"/>
      <c r="AD12" s="1075"/>
      <c r="AE12" s="1080">
        <v>0</v>
      </c>
      <c r="AF12" s="1081">
        <f>SUM(AD11)*$AF$4</f>
        <v>0</v>
      </c>
      <c r="AG12" s="1081">
        <f>SUM(AD11)*$AG$4</f>
        <v>0</v>
      </c>
      <c r="AH12" s="1081">
        <f>SUM(AD11)*$AH$4</f>
        <v>0</v>
      </c>
      <c r="AI12" s="1081">
        <f>SUM(AD11)*$AI$4</f>
        <v>0</v>
      </c>
      <c r="AJ12" s="1078"/>
      <c r="AK12" s="1039" t="s">
        <v>948</v>
      </c>
      <c r="AL12" s="1079"/>
      <c r="AM12" s="1079"/>
      <c r="AN12" s="1079"/>
      <c r="AO12" s="1080">
        <v>0</v>
      </c>
      <c r="AP12" s="1081">
        <f>SUM(AN11*$AP$4)</f>
        <v>0</v>
      </c>
      <c r="AQ12" s="1081">
        <f>SUM(AN11*$AQ$4)</f>
        <v>0</v>
      </c>
      <c r="AR12" s="1081">
        <f>SUM(AN11*$AR$4)</f>
        <v>0</v>
      </c>
      <c r="AS12" s="1081">
        <f>SUM(AN11*$AS$4)</f>
        <v>0</v>
      </c>
      <c r="AT12" s="1078"/>
      <c r="AU12" s="1039" t="s">
        <v>948</v>
      </c>
    </row>
    <row r="13" spans="1:47">
      <c r="A13" s="1318" t="s">
        <v>950</v>
      </c>
      <c r="B13" s="1318"/>
      <c r="C13" s="1068">
        <v>5.6</v>
      </c>
      <c r="D13" s="1068">
        <v>10.5</v>
      </c>
      <c r="E13" s="1069"/>
      <c r="F13" s="1068">
        <v>6.4</v>
      </c>
      <c r="G13" s="1068">
        <v>14.9</v>
      </c>
      <c r="H13" s="1069"/>
      <c r="I13" s="1070">
        <v>9.8000000000000007</v>
      </c>
      <c r="J13" s="1070">
        <v>17.600000000000001</v>
      </c>
      <c r="K13" s="1069"/>
      <c r="L13" s="1071">
        <v>13</v>
      </c>
      <c r="M13" s="1071">
        <v>14.2</v>
      </c>
      <c r="N13" s="1069"/>
      <c r="O13" s="1071">
        <v>26.2</v>
      </c>
      <c r="P13" s="1071">
        <v>22.9</v>
      </c>
      <c r="Q13" s="1071">
        <v>28.7</v>
      </c>
      <c r="R13" s="1069"/>
      <c r="S13" s="1071">
        <v>30.4</v>
      </c>
      <c r="T13" s="1071">
        <v>36.1</v>
      </c>
      <c r="U13" s="1072"/>
      <c r="V13" s="1073">
        <f t="shared" si="0"/>
        <v>6</v>
      </c>
      <c r="W13" s="1074">
        <f t="shared" si="0"/>
        <v>12.7</v>
      </c>
      <c r="X13" s="1073">
        <f t="shared" si="1"/>
        <v>9.8000000000000007</v>
      </c>
      <c r="Y13" s="1074">
        <f t="shared" si="1"/>
        <v>17.600000000000001</v>
      </c>
      <c r="Z13" s="1069"/>
      <c r="AB13" s="1075">
        <f t="shared" si="2"/>
        <v>6</v>
      </c>
      <c r="AC13" s="1076">
        <f t="shared" si="3"/>
        <v>12.2</v>
      </c>
      <c r="AD13" s="1075">
        <f t="shared" si="4"/>
        <v>4.9833333333333334</v>
      </c>
      <c r="AE13" s="1077">
        <v>0</v>
      </c>
      <c r="AF13" s="1077">
        <f>SUM(AC13+AJ13*$AF$2)</f>
        <v>6</v>
      </c>
      <c r="AG13" s="1077">
        <f>SUM(AJ13+AC13*$AG$2)</f>
        <v>18.2</v>
      </c>
      <c r="AH13" s="1077">
        <f>SUM(AJ13+AC13*$AH$2)</f>
        <v>30.399999999999995</v>
      </c>
      <c r="AI13" s="1077">
        <f>SUM(AJ13+AC13*$AI$2)</f>
        <v>42.599999999999994</v>
      </c>
      <c r="AJ13" s="1082">
        <f t="shared" ref="AJ13:AJ36" si="9">SUM(AB13-AC13)</f>
        <v>-6.1999999999999993</v>
      </c>
      <c r="AK13" s="1039" t="s">
        <v>948</v>
      </c>
      <c r="AL13" s="1079">
        <f t="shared" si="5"/>
        <v>9.8000000000000007</v>
      </c>
      <c r="AM13" s="1079">
        <f t="shared" si="6"/>
        <v>10.299999999999999</v>
      </c>
      <c r="AN13" s="1079">
        <f t="shared" si="7"/>
        <v>3.5333333333333332</v>
      </c>
      <c r="AO13" s="1077">
        <v>0</v>
      </c>
      <c r="AP13" s="1077">
        <f>SUM(AT13+AM13*$AP$2)</f>
        <v>9.8000000000000007</v>
      </c>
      <c r="AQ13" s="1077">
        <f>SUM(AT13+AM13*$AQ$2)</f>
        <v>20.100000000000001</v>
      </c>
      <c r="AR13" s="1077">
        <f>SUM(AT13+AM13*$AR$2)</f>
        <v>30.4</v>
      </c>
      <c r="AS13" s="1077">
        <f>SUM(AT13+AM13*$AS$2)</f>
        <v>40.699999999999996</v>
      </c>
      <c r="AT13" s="1078">
        <f t="shared" si="8"/>
        <v>-0.49999999999999822</v>
      </c>
      <c r="AU13" s="1039" t="s">
        <v>948</v>
      </c>
    </row>
    <row r="14" spans="1:47">
      <c r="C14" s="1068"/>
      <c r="D14" s="1068"/>
      <c r="E14" s="1069"/>
      <c r="F14" s="1068"/>
      <c r="G14" s="1068"/>
      <c r="H14" s="1069"/>
      <c r="I14" s="1070"/>
      <c r="J14" s="1070"/>
      <c r="K14" s="1069"/>
      <c r="L14" s="1071"/>
      <c r="M14" s="1071"/>
      <c r="N14" s="1069"/>
      <c r="O14" s="1071"/>
      <c r="P14" s="1071"/>
      <c r="Q14" s="1071"/>
      <c r="R14" s="1069"/>
      <c r="S14" s="1071"/>
      <c r="T14" s="1071"/>
      <c r="U14" s="1072"/>
      <c r="V14" s="1073"/>
      <c r="W14" s="1074"/>
      <c r="X14" s="1073"/>
      <c r="Y14" s="1074"/>
      <c r="Z14" s="1069"/>
      <c r="AB14" s="1075"/>
      <c r="AC14" s="1076"/>
      <c r="AD14" s="1075"/>
      <c r="AE14" s="1080">
        <v>0</v>
      </c>
      <c r="AF14" s="1081">
        <f>SUM(AD13)*$AF$4</f>
        <v>4.9833333333333334</v>
      </c>
      <c r="AG14" s="1081">
        <f>SUM(AD13)*$AG$4</f>
        <v>9.9666666666666668</v>
      </c>
      <c r="AH14" s="1081">
        <f>SUM(AD13)*$AH$4</f>
        <v>14.95</v>
      </c>
      <c r="AI14" s="1081">
        <f>SUM(AD13)*$AI$4</f>
        <v>19.933333333333334</v>
      </c>
      <c r="AJ14" s="1078"/>
      <c r="AK14" s="1039" t="s">
        <v>948</v>
      </c>
      <c r="AL14" s="1079"/>
      <c r="AM14" s="1079"/>
      <c r="AN14" s="1079"/>
      <c r="AO14" s="1080">
        <v>0</v>
      </c>
      <c r="AP14" s="1081">
        <f>SUM(AN13*$AP$4)</f>
        <v>3.5333333333333332</v>
      </c>
      <c r="AQ14" s="1081">
        <f>SUM(AN13*$AQ$4)</f>
        <v>7.0666666666666664</v>
      </c>
      <c r="AR14" s="1081">
        <f>SUM(AN13*$AR$4)</f>
        <v>10.6</v>
      </c>
      <c r="AS14" s="1081">
        <f>SUM(AN13*$AS$4)</f>
        <v>14.133333333333333</v>
      </c>
      <c r="AT14" s="1078"/>
      <c r="AU14" s="1039" t="s">
        <v>948</v>
      </c>
    </row>
    <row r="15" spans="1:47">
      <c r="A15" s="1328" t="s">
        <v>951</v>
      </c>
      <c r="B15" s="1328"/>
      <c r="C15" s="1068">
        <v>53.2</v>
      </c>
      <c r="D15" s="1068">
        <v>56.8</v>
      </c>
      <c r="E15" s="1069"/>
      <c r="F15" s="1068">
        <v>47.3</v>
      </c>
      <c r="G15" s="1068">
        <v>60.8</v>
      </c>
      <c r="H15" s="1069"/>
      <c r="I15" s="1070">
        <v>85.3</v>
      </c>
      <c r="J15" s="1070">
        <v>95.7</v>
      </c>
      <c r="K15" s="1069"/>
      <c r="L15" s="1071">
        <v>115.8</v>
      </c>
      <c r="M15" s="1071">
        <v>121.2</v>
      </c>
      <c r="N15" s="1069"/>
      <c r="O15" s="1071">
        <v>89.4</v>
      </c>
      <c r="P15" s="1071">
        <v>103.4</v>
      </c>
      <c r="Q15" s="1071">
        <v>119</v>
      </c>
      <c r="R15" s="1069"/>
      <c r="S15" s="1071">
        <v>105</v>
      </c>
      <c r="T15" s="1071">
        <v>127.1</v>
      </c>
      <c r="U15" s="1072"/>
      <c r="V15" s="1073">
        <f t="shared" si="0"/>
        <v>50.25</v>
      </c>
      <c r="W15" s="1074">
        <f t="shared" si="0"/>
        <v>58.8</v>
      </c>
      <c r="X15" s="1073">
        <f t="shared" si="1"/>
        <v>85.3</v>
      </c>
      <c r="Y15" s="1074">
        <f t="shared" si="1"/>
        <v>95.7</v>
      </c>
      <c r="Z15" s="1069"/>
      <c r="AB15" s="1075">
        <f t="shared" si="2"/>
        <v>50.25</v>
      </c>
      <c r="AC15" s="1076">
        <f t="shared" si="3"/>
        <v>27.375</v>
      </c>
      <c r="AD15" s="1075">
        <f t="shared" si="4"/>
        <v>25.541666666666668</v>
      </c>
      <c r="AE15" s="1077">
        <v>0</v>
      </c>
      <c r="AF15" s="1077">
        <f>SUM(AC15+AJ15*$AF$2)</f>
        <v>50.25</v>
      </c>
      <c r="AG15" s="1077">
        <f>SUM(AJ15+AC15*$AG$2)</f>
        <v>77.625</v>
      </c>
      <c r="AH15" s="1077">
        <f>SUM(AJ15+AC15*$AH$2)</f>
        <v>105</v>
      </c>
      <c r="AI15" s="1077">
        <f>SUM(AJ15+AC15*$AI$2)</f>
        <v>132.375</v>
      </c>
      <c r="AJ15" s="1078">
        <f t="shared" si="9"/>
        <v>22.875</v>
      </c>
      <c r="AK15" s="1039" t="s">
        <v>948</v>
      </c>
      <c r="AL15" s="1079">
        <f t="shared" si="5"/>
        <v>85.3</v>
      </c>
      <c r="AM15" s="1079">
        <f t="shared" si="6"/>
        <v>9.8500000000000014</v>
      </c>
      <c r="AN15" s="1079">
        <f t="shared" si="7"/>
        <v>13.549999999999999</v>
      </c>
      <c r="AO15" s="1077">
        <v>0</v>
      </c>
      <c r="AP15" s="1077">
        <f>SUM(AT15+AM15*$AP$2)</f>
        <v>85.299999999999983</v>
      </c>
      <c r="AQ15" s="1077">
        <f>SUM(AT15+AM15*$AQ$2)</f>
        <v>95.149999999999991</v>
      </c>
      <c r="AR15" s="1077">
        <f>SUM(AT15+AM15*$AR$2)</f>
        <v>105</v>
      </c>
      <c r="AS15" s="1077">
        <f>SUM(AT15+AM15*$AS$2)</f>
        <v>114.85</v>
      </c>
      <c r="AT15" s="1078">
        <f>SUM(AL15-AM15)</f>
        <v>75.449999999999989</v>
      </c>
      <c r="AU15" s="1039" t="s">
        <v>948</v>
      </c>
    </row>
    <row r="16" spans="1:47">
      <c r="A16" s="1067"/>
      <c r="B16" s="1067"/>
      <c r="C16" s="1068"/>
      <c r="D16" s="1068"/>
      <c r="E16" s="1069"/>
      <c r="F16" s="1068"/>
      <c r="G16" s="1068"/>
      <c r="H16" s="1069"/>
      <c r="I16" s="1070"/>
      <c r="J16" s="1070"/>
      <c r="K16" s="1069"/>
      <c r="L16" s="1071"/>
      <c r="M16" s="1071"/>
      <c r="N16" s="1069"/>
      <c r="O16" s="1071"/>
      <c r="P16" s="1071"/>
      <c r="Q16" s="1071"/>
      <c r="R16" s="1069"/>
      <c r="S16" s="1071"/>
      <c r="T16" s="1071"/>
      <c r="U16" s="1072"/>
      <c r="V16" s="1073"/>
      <c r="W16" s="1074"/>
      <c r="X16" s="1073"/>
      <c r="Y16" s="1074"/>
      <c r="Z16" s="1069"/>
      <c r="AB16" s="1075"/>
      <c r="AC16" s="1076"/>
      <c r="AD16" s="1075"/>
      <c r="AE16" s="1080">
        <v>0</v>
      </c>
      <c r="AF16" s="1081">
        <f>SUM(AD15)*$AF$4</f>
        <v>25.541666666666668</v>
      </c>
      <c r="AG16" s="1081">
        <f>SUM(AD15)*$AG$4</f>
        <v>51.083333333333336</v>
      </c>
      <c r="AH16" s="1081">
        <f>SUM(AD15)*$AH$4</f>
        <v>76.625</v>
      </c>
      <c r="AI16" s="1081">
        <f>SUM(AD15)*$AI$4</f>
        <v>102.16666666666667</v>
      </c>
      <c r="AJ16" s="1078"/>
      <c r="AK16" s="1039" t="s">
        <v>948</v>
      </c>
      <c r="AL16" s="1079"/>
      <c r="AM16" s="1079"/>
      <c r="AN16" s="1079"/>
      <c r="AO16" s="1080">
        <v>0</v>
      </c>
      <c r="AP16" s="1081">
        <f>SUM(AN15*$AP$4)</f>
        <v>13.549999999999999</v>
      </c>
      <c r="AQ16" s="1081">
        <f>SUM(AN15*$AQ$4)</f>
        <v>27.099999999999998</v>
      </c>
      <c r="AR16" s="1081">
        <f>SUM(AN15*$AR$4)</f>
        <v>40.65</v>
      </c>
      <c r="AS16" s="1081">
        <f>SUM(AN15*$AS$4)</f>
        <v>54.199999999999996</v>
      </c>
      <c r="AT16" s="1078"/>
      <c r="AU16" s="1039" t="s">
        <v>948</v>
      </c>
    </row>
    <row r="17" spans="1:47">
      <c r="A17" s="1318" t="s">
        <v>952</v>
      </c>
      <c r="B17" s="1318"/>
      <c r="C17" s="1068">
        <v>13.4</v>
      </c>
      <c r="D17" s="1068">
        <v>37.799999999999997</v>
      </c>
      <c r="E17" s="1069"/>
      <c r="F17" s="1068">
        <v>22.7</v>
      </c>
      <c r="G17" s="1068">
        <v>37.4</v>
      </c>
      <c r="H17" s="1069"/>
      <c r="I17" s="1070">
        <v>24.3</v>
      </c>
      <c r="J17" s="1070">
        <v>40.6</v>
      </c>
      <c r="K17" s="1069"/>
      <c r="L17" s="1071">
        <v>24.4</v>
      </c>
      <c r="M17" s="1071">
        <v>14.7</v>
      </c>
      <c r="N17" s="1069"/>
      <c r="O17" s="1071">
        <v>39.799999999999997</v>
      </c>
      <c r="P17" s="1071">
        <v>40.299999999999997</v>
      </c>
      <c r="Q17" s="1071">
        <v>33.200000000000003</v>
      </c>
      <c r="R17" s="1069"/>
      <c r="S17" s="1071">
        <v>50.8</v>
      </c>
      <c r="T17" s="1071">
        <v>42.4</v>
      </c>
      <c r="U17" s="1072"/>
      <c r="V17" s="1073">
        <f t="shared" si="0"/>
        <v>18.05</v>
      </c>
      <c r="W17" s="1074">
        <f t="shared" si="0"/>
        <v>37.599999999999994</v>
      </c>
      <c r="X17" s="1073">
        <f t="shared" si="1"/>
        <v>24.3</v>
      </c>
      <c r="Y17" s="1074">
        <f t="shared" si="1"/>
        <v>40.6</v>
      </c>
      <c r="Z17" s="1069"/>
      <c r="AB17" s="1075">
        <f t="shared" si="2"/>
        <v>18.05</v>
      </c>
      <c r="AC17" s="1076">
        <f t="shared" si="3"/>
        <v>16.375</v>
      </c>
      <c r="AD17" s="1075">
        <f t="shared" si="4"/>
        <v>0</v>
      </c>
      <c r="AE17" s="1077">
        <v>0</v>
      </c>
      <c r="AF17" s="1077">
        <f>SUM(AC17+AJ17*$AF$2)</f>
        <v>18.05</v>
      </c>
      <c r="AG17" s="1077">
        <f>SUM(AJ17+AC17*$AG$2)</f>
        <v>34.424999999999997</v>
      </c>
      <c r="AH17" s="1077">
        <f>SUM(AJ17+AC17*$AH$2)</f>
        <v>50.8</v>
      </c>
      <c r="AI17" s="1077">
        <f>SUM(AJ17+AC17*$AI$2)</f>
        <v>67.174999999999997</v>
      </c>
      <c r="AJ17" s="1078">
        <f t="shared" si="9"/>
        <v>1.6750000000000007</v>
      </c>
      <c r="AK17" s="1039" t="s">
        <v>948</v>
      </c>
      <c r="AL17" s="1079">
        <f t="shared" si="5"/>
        <v>24.3</v>
      </c>
      <c r="AM17" s="1079">
        <f t="shared" si="6"/>
        <v>13.249999999999998</v>
      </c>
      <c r="AN17" s="1079">
        <f>MAX(0,(AVERAGE(L17-I17,(M17-L17),(O17-J17),(P17-O17),(Q17-P17),(T17-S17))))</f>
        <v>0</v>
      </c>
      <c r="AO17" s="1077">
        <v>0</v>
      </c>
      <c r="AP17" s="1077">
        <f>SUM(AT17+AM17*$AP$2)</f>
        <v>24.3</v>
      </c>
      <c r="AQ17" s="1077">
        <f>SUM(AT17+AM17*$AQ$2)</f>
        <v>37.549999999999997</v>
      </c>
      <c r="AR17" s="1077">
        <f>SUM(AT17+AM17*$AR$2)</f>
        <v>50.8</v>
      </c>
      <c r="AS17" s="1077">
        <f>SUM(AT17+AM17*$AS$2)</f>
        <v>64.05</v>
      </c>
      <c r="AT17" s="1078">
        <f t="shared" si="8"/>
        <v>11.050000000000002</v>
      </c>
      <c r="AU17" s="1039" t="s">
        <v>948</v>
      </c>
    </row>
    <row r="18" spans="1:47">
      <c r="C18" s="1068"/>
      <c r="D18" s="1068"/>
      <c r="E18" s="1069"/>
      <c r="F18" s="1068"/>
      <c r="G18" s="1068"/>
      <c r="H18" s="1069"/>
      <c r="I18" s="1070"/>
      <c r="J18" s="1070"/>
      <c r="K18" s="1069"/>
      <c r="L18" s="1071"/>
      <c r="M18" s="1071"/>
      <c r="N18" s="1069"/>
      <c r="O18" s="1071"/>
      <c r="P18" s="1071"/>
      <c r="Q18" s="1071"/>
      <c r="R18" s="1069"/>
      <c r="S18" s="1071"/>
      <c r="T18" s="1071"/>
      <c r="U18" s="1072"/>
      <c r="V18" s="1073"/>
      <c r="W18" s="1074"/>
      <c r="X18" s="1073"/>
      <c r="Y18" s="1074"/>
      <c r="Z18" s="1069"/>
      <c r="AB18" s="1075"/>
      <c r="AC18" s="1076"/>
      <c r="AD18" s="1075"/>
      <c r="AE18" s="1080">
        <v>0</v>
      </c>
      <c r="AF18" s="1081">
        <f>SUM(AD17)*$AF$4</f>
        <v>0</v>
      </c>
      <c r="AG18" s="1081">
        <f>SUM(AD17)*$AG$4</f>
        <v>0</v>
      </c>
      <c r="AH18" s="1081">
        <f>SUM(AD17)*$AH$4</f>
        <v>0</v>
      </c>
      <c r="AI18" s="1081">
        <f>SUM(AD17)*$AI$4</f>
        <v>0</v>
      </c>
      <c r="AJ18" s="1078"/>
      <c r="AK18" s="1039" t="s">
        <v>948</v>
      </c>
      <c r="AL18" s="1079"/>
      <c r="AM18" s="1079"/>
      <c r="AN18" s="1079"/>
      <c r="AO18" s="1080">
        <v>0</v>
      </c>
      <c r="AP18" s="1081">
        <f>SUM(AN17*$AP$4)</f>
        <v>0</v>
      </c>
      <c r="AQ18" s="1081">
        <f>SUM(AN17*$AQ$4)</f>
        <v>0</v>
      </c>
      <c r="AR18" s="1081">
        <f>SUM(AN17*$AR$4)</f>
        <v>0</v>
      </c>
      <c r="AS18" s="1081">
        <f>SUM(AN17*$AS$4)</f>
        <v>0</v>
      </c>
      <c r="AT18" s="1078"/>
      <c r="AU18" s="1039" t="s">
        <v>948</v>
      </c>
    </row>
    <row r="19" spans="1:47">
      <c r="A19" s="1318" t="s">
        <v>953</v>
      </c>
      <c r="B19" s="1318"/>
      <c r="C19" s="1068">
        <v>6.6</v>
      </c>
      <c r="D19" s="1068">
        <v>10.5</v>
      </c>
      <c r="E19" s="1069"/>
      <c r="F19" s="1068">
        <v>7.2</v>
      </c>
      <c r="G19" s="1068">
        <v>17</v>
      </c>
      <c r="H19" s="1069"/>
      <c r="I19" s="1070">
        <v>4.4000000000000004</v>
      </c>
      <c r="J19" s="1070">
        <v>9</v>
      </c>
      <c r="K19" s="1069"/>
      <c r="L19" s="1071">
        <v>4.5</v>
      </c>
      <c r="M19" s="1071">
        <v>4.2</v>
      </c>
      <c r="N19" s="1069"/>
      <c r="O19" s="1071">
        <v>8</v>
      </c>
      <c r="P19" s="1071">
        <v>7.3</v>
      </c>
      <c r="Q19" s="1071">
        <v>7.9</v>
      </c>
      <c r="R19" s="1069"/>
      <c r="S19" s="1071">
        <v>16.899999999999999</v>
      </c>
      <c r="T19" s="1071">
        <v>10.199999999999999</v>
      </c>
      <c r="U19" s="1072"/>
      <c r="V19" s="1073">
        <f t="shared" si="0"/>
        <v>6.9</v>
      </c>
      <c r="W19" s="1074">
        <f t="shared" si="0"/>
        <v>13.75</v>
      </c>
      <c r="X19" s="1073">
        <f t="shared" si="1"/>
        <v>4.4000000000000004</v>
      </c>
      <c r="Y19" s="1074">
        <f t="shared" si="1"/>
        <v>9</v>
      </c>
      <c r="Z19" s="1069"/>
      <c r="AB19" s="1075">
        <f t="shared" si="2"/>
        <v>6.9</v>
      </c>
      <c r="AC19" s="1076">
        <f t="shared" si="3"/>
        <v>4.9999999999999991</v>
      </c>
      <c r="AD19" s="1075">
        <f t="shared" si="4"/>
        <v>0</v>
      </c>
      <c r="AE19" s="1077">
        <v>0</v>
      </c>
      <c r="AF19" s="1077">
        <f>SUM(AC19+AJ19*$AF$2)</f>
        <v>6.9</v>
      </c>
      <c r="AG19" s="1077">
        <f>SUM(AJ19+AC19*$AG$2)</f>
        <v>11.899999999999999</v>
      </c>
      <c r="AH19" s="1077">
        <f>SUM(AJ19+AC19*$AH$2)</f>
        <v>16.899999999999999</v>
      </c>
      <c r="AI19" s="1077">
        <f>SUM(AJ19+AC19*$AI$2)</f>
        <v>21.9</v>
      </c>
      <c r="AJ19" s="1078">
        <f t="shared" si="9"/>
        <v>1.9000000000000012</v>
      </c>
      <c r="AK19" s="1039" t="s">
        <v>948</v>
      </c>
      <c r="AL19" s="1079">
        <f t="shared" si="5"/>
        <v>4.4000000000000004</v>
      </c>
      <c r="AM19" s="1079">
        <f t="shared" si="6"/>
        <v>6.2499999999999991</v>
      </c>
      <c r="AN19" s="1079">
        <f t="shared" si="7"/>
        <v>0</v>
      </c>
      <c r="AO19" s="1077">
        <v>0</v>
      </c>
      <c r="AP19" s="1077">
        <f>SUM(AT19+AM19*$AP$2)</f>
        <v>4.4000000000000004</v>
      </c>
      <c r="AQ19" s="1077">
        <f>SUM(AT19+AM19*$AQ$2)</f>
        <v>10.649999999999999</v>
      </c>
      <c r="AR19" s="1077">
        <f>SUM(AT19+AM19*$AR$2)</f>
        <v>16.899999999999999</v>
      </c>
      <c r="AS19" s="1077">
        <f>SUM(AT19+AM19*$AS$2)</f>
        <v>23.15</v>
      </c>
      <c r="AT19" s="1078">
        <f t="shared" si="8"/>
        <v>-1.8499999999999988</v>
      </c>
      <c r="AU19" s="1039" t="s">
        <v>948</v>
      </c>
    </row>
    <row r="20" spans="1:47">
      <c r="C20" s="1068"/>
      <c r="D20" s="1068"/>
      <c r="E20" s="1069"/>
      <c r="F20" s="1068"/>
      <c r="G20" s="1068"/>
      <c r="H20" s="1069"/>
      <c r="I20" s="1070"/>
      <c r="J20" s="1070"/>
      <c r="K20" s="1069"/>
      <c r="L20" s="1071"/>
      <c r="M20" s="1071"/>
      <c r="N20" s="1069"/>
      <c r="O20" s="1071"/>
      <c r="P20" s="1071"/>
      <c r="Q20" s="1071"/>
      <c r="R20" s="1069"/>
      <c r="S20" s="1071"/>
      <c r="T20" s="1071"/>
      <c r="U20" s="1072"/>
      <c r="V20" s="1073"/>
      <c r="W20" s="1074"/>
      <c r="X20" s="1073"/>
      <c r="Y20" s="1074"/>
      <c r="Z20" s="1069"/>
      <c r="AB20" s="1075"/>
      <c r="AC20" s="1076"/>
      <c r="AD20" s="1075"/>
      <c r="AE20" s="1080">
        <v>0</v>
      </c>
      <c r="AF20" s="1080">
        <f>SUM(AD19)*$AF$4</f>
        <v>0</v>
      </c>
      <c r="AG20" s="1081">
        <f>SUM(AD19)*$AG$4</f>
        <v>0</v>
      </c>
      <c r="AH20" s="1081">
        <f>SUM(AD19)*$AH$4</f>
        <v>0</v>
      </c>
      <c r="AI20" s="1081">
        <f>SUM(AD19)*$AI$4</f>
        <v>0</v>
      </c>
      <c r="AJ20" s="1078"/>
      <c r="AK20" s="1039" t="s">
        <v>948</v>
      </c>
      <c r="AL20" s="1079"/>
      <c r="AM20" s="1079"/>
      <c r="AN20" s="1079"/>
      <c r="AO20" s="1080">
        <v>0</v>
      </c>
      <c r="AP20" s="1081">
        <f>SUM(AN19*$AP$4)</f>
        <v>0</v>
      </c>
      <c r="AQ20" s="1081">
        <f>SUM(AN19*$AQ$4)</f>
        <v>0</v>
      </c>
      <c r="AR20" s="1081">
        <f>SUM(AN19*$AR$4)</f>
        <v>0</v>
      </c>
      <c r="AS20" s="1081">
        <f>SUM(AN19*$AS$4)</f>
        <v>0</v>
      </c>
      <c r="AT20" s="1078"/>
      <c r="AU20" s="1039" t="s">
        <v>948</v>
      </c>
    </row>
    <row r="21" spans="1:47">
      <c r="A21" s="1328" t="s">
        <v>954</v>
      </c>
      <c r="B21" s="1328"/>
      <c r="C21" s="1068">
        <v>11.9</v>
      </c>
      <c r="D21" s="1068">
        <v>41.7</v>
      </c>
      <c r="E21" s="1069"/>
      <c r="F21" s="1068">
        <v>24.9</v>
      </c>
      <c r="G21" s="1068">
        <v>62</v>
      </c>
      <c r="H21" s="1069"/>
      <c r="I21" s="1070">
        <v>42.8</v>
      </c>
      <c r="J21" s="1070">
        <v>89.3</v>
      </c>
      <c r="K21" s="1069"/>
      <c r="L21" s="1071">
        <v>32.200000000000003</v>
      </c>
      <c r="M21" s="1071">
        <v>47.7</v>
      </c>
      <c r="N21" s="1069"/>
      <c r="O21" s="1071">
        <v>109</v>
      </c>
      <c r="P21" s="1071">
        <v>107.3</v>
      </c>
      <c r="Q21" s="1071">
        <v>88.2</v>
      </c>
      <c r="R21" s="1069"/>
      <c r="S21" s="1071">
        <v>125.7</v>
      </c>
      <c r="T21" s="1071">
        <v>113.1</v>
      </c>
      <c r="U21" s="1072"/>
      <c r="V21" s="1073">
        <f t="shared" si="0"/>
        <v>18.399999999999999</v>
      </c>
      <c r="W21" s="1074">
        <f t="shared" si="0"/>
        <v>51.85</v>
      </c>
      <c r="X21" s="1073">
        <f t="shared" si="1"/>
        <v>42.8</v>
      </c>
      <c r="Y21" s="1074">
        <f t="shared" si="1"/>
        <v>89.3</v>
      </c>
      <c r="Z21" s="1069"/>
      <c r="AB21" s="1075">
        <f t="shared" si="2"/>
        <v>18.399999999999999</v>
      </c>
      <c r="AC21" s="1076">
        <f t="shared" si="3"/>
        <v>53.65</v>
      </c>
      <c r="AD21" s="1075">
        <f t="shared" si="4"/>
        <v>8.8416666666666668</v>
      </c>
      <c r="AE21" s="1077">
        <v>0</v>
      </c>
      <c r="AF21" s="1077">
        <f>SUM(AC21+AJ21*$AF$2)</f>
        <v>18.399999999999999</v>
      </c>
      <c r="AG21" s="1077">
        <f>SUM(AJ21+AC21*$AG$2)</f>
        <v>72.05</v>
      </c>
      <c r="AH21" s="1077">
        <f>SUM(AJ21+AC21*$AH$2)</f>
        <v>125.69999999999999</v>
      </c>
      <c r="AI21" s="1077">
        <f>SUM(AJ21+AC21*$AI$2)</f>
        <v>179.35</v>
      </c>
      <c r="AJ21" s="1082">
        <f t="shared" si="9"/>
        <v>-35.25</v>
      </c>
      <c r="AK21" s="1039" t="s">
        <v>948</v>
      </c>
      <c r="AL21" s="1079">
        <f t="shared" si="5"/>
        <v>42.8</v>
      </c>
      <c r="AM21" s="1079">
        <f t="shared" si="6"/>
        <v>41.45</v>
      </c>
      <c r="AN21" s="1079">
        <f t="shared" si="7"/>
        <v>0</v>
      </c>
      <c r="AO21" s="1077">
        <v>0</v>
      </c>
      <c r="AP21" s="1077">
        <f>SUM(AT21+AM21*$AP$2)</f>
        <v>42.8</v>
      </c>
      <c r="AQ21" s="1077">
        <f>SUM(AT21+AM21*$AQ$2)</f>
        <v>84.25</v>
      </c>
      <c r="AR21" s="1077">
        <f>SUM(AT21+AM21*$AR$2)</f>
        <v>125.7</v>
      </c>
      <c r="AS21" s="1077">
        <f>SUM(AT21+AM21*$AS$2)</f>
        <v>167.15</v>
      </c>
      <c r="AT21" s="1078">
        <f t="shared" si="8"/>
        <v>1.3499999999999943</v>
      </c>
      <c r="AU21" s="1039" t="s">
        <v>948</v>
      </c>
    </row>
    <row r="22" spans="1:47">
      <c r="C22" s="1068"/>
      <c r="D22" s="1068"/>
      <c r="E22" s="1069"/>
      <c r="F22" s="1068"/>
      <c r="G22" s="1068"/>
      <c r="H22" s="1069"/>
      <c r="I22" s="1070"/>
      <c r="J22" s="1070"/>
      <c r="K22" s="1069"/>
      <c r="L22" s="1071"/>
      <c r="M22" s="1071"/>
      <c r="N22" s="1069"/>
      <c r="O22" s="1071"/>
      <c r="P22" s="1071"/>
      <c r="Q22" s="1071"/>
      <c r="R22" s="1069"/>
      <c r="S22" s="1071"/>
      <c r="T22" s="1071"/>
      <c r="U22" s="1072"/>
      <c r="V22" s="1073"/>
      <c r="W22" s="1074"/>
      <c r="X22" s="1073"/>
      <c r="Y22" s="1074"/>
      <c r="Z22" s="1069"/>
      <c r="AB22" s="1075"/>
      <c r="AC22" s="1076"/>
      <c r="AD22" s="1075"/>
      <c r="AE22" s="1080">
        <v>0</v>
      </c>
      <c r="AF22" s="1081">
        <f>SUM(AD21)*$AF$4</f>
        <v>8.8416666666666668</v>
      </c>
      <c r="AG22" s="1081">
        <f>SUM(AD21)*$AG$4</f>
        <v>17.683333333333334</v>
      </c>
      <c r="AH22" s="1081">
        <f>SUM(AD21)*$AH$4</f>
        <v>26.524999999999999</v>
      </c>
      <c r="AI22" s="1081">
        <f>SUM(AD21)*$AI$4</f>
        <v>35.366666666666667</v>
      </c>
      <c r="AJ22" s="1078"/>
      <c r="AK22" s="1039" t="s">
        <v>948</v>
      </c>
      <c r="AL22" s="1079"/>
      <c r="AM22" s="1079"/>
      <c r="AN22" s="1079"/>
      <c r="AO22" s="1080">
        <v>0</v>
      </c>
      <c r="AP22" s="1081">
        <f>SUM(AN21*$AP$4)</f>
        <v>0</v>
      </c>
      <c r="AQ22" s="1081">
        <f>SUM(AN21*$AQ$4)</f>
        <v>0</v>
      </c>
      <c r="AR22" s="1081">
        <f>SUM(AN21*$AR$4)</f>
        <v>0</v>
      </c>
      <c r="AS22" s="1081">
        <f>SUM(AN21*$AS$4)</f>
        <v>0</v>
      </c>
      <c r="AT22" s="1078"/>
      <c r="AU22" s="1039" t="s">
        <v>948</v>
      </c>
    </row>
    <row r="23" spans="1:47">
      <c r="A23" s="1318" t="s">
        <v>955</v>
      </c>
      <c r="B23" s="1318"/>
      <c r="C23" s="1068">
        <v>10.9</v>
      </c>
      <c r="D23" s="1068">
        <v>14</v>
      </c>
      <c r="E23" s="1069"/>
      <c r="F23" s="1068">
        <v>12.6</v>
      </c>
      <c r="G23" s="1068">
        <v>20.399999999999999</v>
      </c>
      <c r="H23" s="1069"/>
      <c r="I23" s="1070">
        <v>14.7</v>
      </c>
      <c r="J23" s="1070">
        <v>22.4</v>
      </c>
      <c r="K23" s="1069"/>
      <c r="L23" s="1071">
        <v>16.2</v>
      </c>
      <c r="M23" s="1071">
        <v>18.7</v>
      </c>
      <c r="N23" s="1069"/>
      <c r="O23" s="1071">
        <v>25.6</v>
      </c>
      <c r="P23" s="1071">
        <v>26.3</v>
      </c>
      <c r="Q23" s="1071">
        <v>31.6</v>
      </c>
      <c r="R23" s="1069"/>
      <c r="S23" s="1071">
        <v>30.8</v>
      </c>
      <c r="T23" s="1071">
        <v>31.5</v>
      </c>
      <c r="U23" s="1072"/>
      <c r="V23" s="1073">
        <f t="shared" si="0"/>
        <v>11.75</v>
      </c>
      <c r="W23" s="1074">
        <f>AVERAGE(D23,G23)</f>
        <v>17.2</v>
      </c>
      <c r="X23" s="1073">
        <f t="shared" si="1"/>
        <v>14.7</v>
      </c>
      <c r="Y23" s="1074">
        <f t="shared" si="1"/>
        <v>22.4</v>
      </c>
      <c r="Z23" s="1069"/>
      <c r="AB23" s="1075">
        <f t="shared" si="2"/>
        <v>11.75</v>
      </c>
      <c r="AC23" s="1076">
        <f>AVERAGE((W23-V23),(S23-W23))</f>
        <v>9.5250000000000004</v>
      </c>
      <c r="AD23" s="1075">
        <f t="shared" si="4"/>
        <v>3.6750000000000003</v>
      </c>
      <c r="AE23" s="1077">
        <v>0</v>
      </c>
      <c r="AF23" s="1077">
        <f>SUM(AC23+AJ23*$AF$2)</f>
        <v>11.75</v>
      </c>
      <c r="AG23" s="1077">
        <f>SUM(AJ23+AC23*$AG$2)</f>
        <v>21.274999999999999</v>
      </c>
      <c r="AH23" s="1077">
        <f>SUM(AJ23+AC23*$AH$2)</f>
        <v>30.800000000000004</v>
      </c>
      <c r="AI23" s="1077">
        <f>SUM(AJ23+AC23*$AI$2)</f>
        <v>40.325000000000003</v>
      </c>
      <c r="AJ23" s="1078">
        <f t="shared" si="9"/>
        <v>2.2249999999999996</v>
      </c>
      <c r="AK23" s="1039" t="s">
        <v>948</v>
      </c>
      <c r="AL23" s="1079">
        <f t="shared" si="5"/>
        <v>14.7</v>
      </c>
      <c r="AM23" s="1079">
        <f t="shared" si="6"/>
        <v>8.0500000000000007</v>
      </c>
      <c r="AN23" s="1079">
        <f t="shared" si="7"/>
        <v>2.3166666666666669</v>
      </c>
      <c r="AO23" s="1077">
        <v>0</v>
      </c>
      <c r="AP23" s="1077">
        <f>SUM(AT23+AM23*$AP$2)</f>
        <v>14.7</v>
      </c>
      <c r="AQ23" s="1077">
        <f>SUM(AT23+AM23*$AQ$2)</f>
        <v>22.75</v>
      </c>
      <c r="AR23" s="1077">
        <f>SUM(AT23+AM23*$AR$2)</f>
        <v>30.8</v>
      </c>
      <c r="AS23" s="1077">
        <f>SUM(AT23+AM23*$AS$2)</f>
        <v>38.85</v>
      </c>
      <c r="AT23" s="1078">
        <f t="shared" si="8"/>
        <v>6.6499999999999986</v>
      </c>
      <c r="AU23" s="1039" t="s">
        <v>948</v>
      </c>
    </row>
    <row r="24" spans="1:47">
      <c r="C24" s="1068"/>
      <c r="D24" s="1068"/>
      <c r="E24" s="1069"/>
      <c r="F24" s="1068"/>
      <c r="G24" s="1068"/>
      <c r="H24" s="1069"/>
      <c r="I24" s="1070"/>
      <c r="J24" s="1070"/>
      <c r="K24" s="1069"/>
      <c r="L24" s="1071"/>
      <c r="M24" s="1071"/>
      <c r="N24" s="1069"/>
      <c r="O24" s="1071"/>
      <c r="P24" s="1071"/>
      <c r="Q24" s="1071"/>
      <c r="R24" s="1069"/>
      <c r="S24" s="1071"/>
      <c r="T24" s="1071"/>
      <c r="U24" s="1072"/>
      <c r="V24" s="1073"/>
      <c r="W24" s="1074"/>
      <c r="X24" s="1073"/>
      <c r="Y24" s="1074"/>
      <c r="Z24" s="1069"/>
      <c r="AB24" s="1075"/>
      <c r="AC24" s="1076"/>
      <c r="AD24" s="1075"/>
      <c r="AE24" s="1080">
        <v>0</v>
      </c>
      <c r="AF24" s="1081">
        <f>SUM(AD23)*$AF$4</f>
        <v>3.6750000000000003</v>
      </c>
      <c r="AG24" s="1081">
        <f>SUM(AD23)*$AG$4</f>
        <v>7.3500000000000005</v>
      </c>
      <c r="AH24" s="1081">
        <f>SUM(AD23)*$AH$4</f>
        <v>11.025</v>
      </c>
      <c r="AI24" s="1081">
        <f>SUM(AD23)*$AI$4</f>
        <v>14.700000000000001</v>
      </c>
      <c r="AJ24" s="1078"/>
      <c r="AK24" s="1039" t="s">
        <v>948</v>
      </c>
      <c r="AL24" s="1079"/>
      <c r="AM24" s="1079"/>
      <c r="AN24" s="1079"/>
      <c r="AO24" s="1080">
        <v>0</v>
      </c>
      <c r="AP24" s="1081">
        <f>SUM(AN23*$AP$4)</f>
        <v>2.3166666666666669</v>
      </c>
      <c r="AQ24" s="1081">
        <f>SUM(AN23*$AQ$4)</f>
        <v>4.6333333333333337</v>
      </c>
      <c r="AR24" s="1081">
        <f>SUM(AN23*$AR$4)</f>
        <v>6.9500000000000011</v>
      </c>
      <c r="AS24" s="1081">
        <f>SUM(AN23*$AS$4)</f>
        <v>9.2666666666666675</v>
      </c>
      <c r="AT24" s="1078"/>
      <c r="AU24" s="1039" t="s">
        <v>948</v>
      </c>
    </row>
    <row r="25" spans="1:47">
      <c r="A25" s="1318" t="s">
        <v>956</v>
      </c>
      <c r="B25" s="1318"/>
      <c r="C25" s="1068">
        <v>17.7</v>
      </c>
      <c r="D25" s="1068">
        <v>42.8</v>
      </c>
      <c r="E25" s="1069"/>
      <c r="F25" s="1068">
        <v>26.6</v>
      </c>
      <c r="G25" s="1068">
        <v>64.900000000000006</v>
      </c>
      <c r="H25" s="1069"/>
      <c r="I25" s="1070">
        <v>35.200000000000003</v>
      </c>
      <c r="J25" s="1070">
        <v>64.5</v>
      </c>
      <c r="K25" s="1069"/>
      <c r="L25" s="1071">
        <v>37.200000000000003</v>
      </c>
      <c r="M25" s="1071">
        <v>36.299999999999997</v>
      </c>
      <c r="N25" s="1069"/>
      <c r="O25" s="1071">
        <v>67</v>
      </c>
      <c r="P25" s="1071">
        <v>81.099999999999994</v>
      </c>
      <c r="Q25" s="1071">
        <v>83.8</v>
      </c>
      <c r="R25" s="1069"/>
      <c r="S25" s="1083">
        <v>70</v>
      </c>
      <c r="T25" s="1071">
        <v>68.599999999999994</v>
      </c>
      <c r="U25" s="1072"/>
      <c r="V25" s="1073">
        <f>AVERAGE(C25,F25)</f>
        <v>22.15</v>
      </c>
      <c r="W25" s="1074">
        <f t="shared" si="0"/>
        <v>53.85</v>
      </c>
      <c r="X25" s="1073">
        <f t="shared" si="1"/>
        <v>35.200000000000003</v>
      </c>
      <c r="Y25" s="1074">
        <f t="shared" si="1"/>
        <v>64.5</v>
      </c>
      <c r="Z25" s="1069"/>
      <c r="AB25" s="1075">
        <f t="shared" si="2"/>
        <v>22.15</v>
      </c>
      <c r="AC25" s="1083">
        <f>AVERAGE((W25-V25))</f>
        <v>31.700000000000003</v>
      </c>
      <c r="AD25" s="1075">
        <f t="shared" si="4"/>
        <v>7.1166666666666645</v>
      </c>
      <c r="AE25" s="1077">
        <v>0</v>
      </c>
      <c r="AF25" s="1077">
        <f>SUM(AC25+AJ25*$AF$2)</f>
        <v>22.15</v>
      </c>
      <c r="AG25" s="1077">
        <f>SUM(AJ25+AC25*$AG$2)</f>
        <v>53.85</v>
      </c>
      <c r="AH25" s="1077">
        <f>SUM(AJ25+AC25*$AH$2)</f>
        <v>85.550000000000011</v>
      </c>
      <c r="AI25" s="1077">
        <f>SUM(AJ25+AC25*$AI$2)</f>
        <v>117.25</v>
      </c>
      <c r="AJ25" s="1078">
        <f t="shared" si="9"/>
        <v>-9.5500000000000043</v>
      </c>
      <c r="AK25" s="1039" t="s">
        <v>948</v>
      </c>
      <c r="AL25" s="1079">
        <f t="shared" si="5"/>
        <v>35.200000000000003</v>
      </c>
      <c r="AM25" s="1084">
        <f>AVERAGE((Y25-I25))</f>
        <v>29.299999999999997</v>
      </c>
      <c r="AN25" s="1079">
        <f t="shared" si="7"/>
        <v>3.1666666666666643</v>
      </c>
      <c r="AO25" s="1077">
        <v>0</v>
      </c>
      <c r="AP25" s="1077">
        <f>SUM(AT25+AM25*$AP$2)</f>
        <v>35.200000000000003</v>
      </c>
      <c r="AQ25" s="1077">
        <f>SUM(AT25+AM25*$AQ$2)</f>
        <v>64.5</v>
      </c>
      <c r="AR25" s="1077">
        <f>SUM(AT25+AM25*$AR$2)</f>
        <v>93.8</v>
      </c>
      <c r="AS25" s="1077">
        <f>SUM(AT25+AM25*$AS$2)</f>
        <v>123.1</v>
      </c>
      <c r="AT25" s="1078">
        <f t="shared" si="8"/>
        <v>5.9000000000000057</v>
      </c>
      <c r="AU25" s="1039" t="s">
        <v>948</v>
      </c>
    </row>
    <row r="26" spans="1:47">
      <c r="C26" s="1068"/>
      <c r="D26" s="1068"/>
      <c r="E26" s="1069"/>
      <c r="F26" s="1068"/>
      <c r="G26" s="1068"/>
      <c r="H26" s="1069"/>
      <c r="I26" s="1070"/>
      <c r="J26" s="1070"/>
      <c r="K26" s="1069"/>
      <c r="L26" s="1071"/>
      <c r="M26" s="1071"/>
      <c r="N26" s="1069"/>
      <c r="O26" s="1071"/>
      <c r="P26" s="1071"/>
      <c r="Q26" s="1071"/>
      <c r="R26" s="1069"/>
      <c r="S26" s="1071"/>
      <c r="T26" s="1071"/>
      <c r="U26" s="1072"/>
      <c r="V26" s="1073"/>
      <c r="W26" s="1074"/>
      <c r="X26" s="1073"/>
      <c r="Y26" s="1074"/>
      <c r="Z26" s="1069"/>
      <c r="AB26" s="1075"/>
      <c r="AC26" s="1076"/>
      <c r="AD26" s="1075"/>
      <c r="AE26" s="1080">
        <v>0</v>
      </c>
      <c r="AF26" s="1081">
        <f>SUM(AD25)*$AF$4</f>
        <v>7.1166666666666645</v>
      </c>
      <c r="AG26" s="1081">
        <f>SUM(AD25)*$AG$4</f>
        <v>14.233333333333329</v>
      </c>
      <c r="AH26" s="1081">
        <f>SUM(AD25)*$AH$4</f>
        <v>21.349999999999994</v>
      </c>
      <c r="AI26" s="1081">
        <f>SUM(AD25)*$AI$4</f>
        <v>28.466666666666658</v>
      </c>
      <c r="AJ26" s="1078"/>
      <c r="AK26" s="1039" t="s">
        <v>948</v>
      </c>
      <c r="AL26" s="1079"/>
      <c r="AM26" s="1079"/>
      <c r="AN26" s="1079"/>
      <c r="AO26" s="1080">
        <v>0</v>
      </c>
      <c r="AP26" s="1081">
        <f>SUM(AN25*$AP$4)</f>
        <v>3.1666666666666643</v>
      </c>
      <c r="AQ26" s="1081">
        <f>SUM(AN25*$AQ$4)</f>
        <v>6.3333333333333286</v>
      </c>
      <c r="AR26" s="1081">
        <f>SUM(AN25*$AR$4)</f>
        <v>9.4999999999999929</v>
      </c>
      <c r="AS26" s="1081">
        <f>SUM(AN25*$AS$4)</f>
        <v>12.666666666666657</v>
      </c>
      <c r="AT26" s="1078"/>
      <c r="AU26" s="1039" t="s">
        <v>948</v>
      </c>
    </row>
    <row r="27" spans="1:47">
      <c r="A27" s="1327" t="s">
        <v>957</v>
      </c>
      <c r="B27" s="1327"/>
      <c r="C27" s="1068">
        <v>0</v>
      </c>
      <c r="D27" s="1068">
        <v>0</v>
      </c>
      <c r="E27" s="1069"/>
      <c r="F27" s="1068">
        <v>0</v>
      </c>
      <c r="G27" s="1068">
        <v>0</v>
      </c>
      <c r="H27" s="1069"/>
      <c r="I27" s="1070">
        <v>3.9</v>
      </c>
      <c r="J27" s="1070">
        <v>1.5</v>
      </c>
      <c r="K27" s="1069"/>
      <c r="L27" s="1085">
        <v>28.6</v>
      </c>
      <c r="M27" s="1071">
        <v>0</v>
      </c>
      <c r="N27" s="1069"/>
      <c r="O27" s="1071">
        <v>10.7</v>
      </c>
      <c r="P27" s="1071">
        <v>8.8000000000000007</v>
      </c>
      <c r="Q27" s="1085">
        <v>14.2</v>
      </c>
      <c r="R27" s="1069"/>
      <c r="S27" s="1085">
        <v>9</v>
      </c>
      <c r="T27" s="1085">
        <v>15.2</v>
      </c>
      <c r="U27" s="1072"/>
      <c r="V27" s="1073">
        <f t="shared" si="0"/>
        <v>0</v>
      </c>
      <c r="W27" s="1074">
        <f t="shared" si="0"/>
        <v>0</v>
      </c>
      <c r="X27" s="1073">
        <f t="shared" si="1"/>
        <v>3.9</v>
      </c>
      <c r="Y27" s="1074">
        <f t="shared" si="1"/>
        <v>1.5</v>
      </c>
      <c r="Z27" s="1069"/>
      <c r="AB27" s="1075">
        <f t="shared" si="2"/>
        <v>0</v>
      </c>
      <c r="AC27" s="1076">
        <f>AVERAGE((W27-V27),(S27-W27))</f>
        <v>4.5</v>
      </c>
      <c r="AD27" s="1075">
        <f t="shared" si="4"/>
        <v>3.4</v>
      </c>
      <c r="AE27" s="1077">
        <v>0</v>
      </c>
      <c r="AF27" s="1077">
        <f>SUM(AC27+AJ27*$AF$2)</f>
        <v>0</v>
      </c>
      <c r="AG27" s="1077">
        <f>SUM(AJ27+AC27*$AG$2)</f>
        <v>4.5</v>
      </c>
      <c r="AH27" s="1077">
        <f>SUM(AJ27+AC27*$AH$2)</f>
        <v>9</v>
      </c>
      <c r="AI27" s="1077">
        <f>SUM(AJ27+AC27*$AI$2)</f>
        <v>13.5</v>
      </c>
      <c r="AJ27" s="1082">
        <f>SUM(AB27-AC27)</f>
        <v>-4.5</v>
      </c>
      <c r="AK27" s="1039" t="s">
        <v>948</v>
      </c>
      <c r="AL27" s="1079">
        <f t="shared" si="5"/>
        <v>3.9</v>
      </c>
      <c r="AM27" s="1079">
        <f t="shared" si="6"/>
        <v>2.5499999999999998</v>
      </c>
      <c r="AN27" s="1079">
        <f>MAX(0,(AVERAGE(L27-I27,(M27-L27),(O27-J27),(P27-O27),(Q27-P27),(T27-S27))))</f>
        <v>2.5</v>
      </c>
      <c r="AO27" s="1077">
        <v>0</v>
      </c>
      <c r="AP27" s="1077">
        <f>SUM(AT27+AM27*$AP$2)</f>
        <v>3.9</v>
      </c>
      <c r="AQ27" s="1077">
        <f>SUM(AT27+AM27*$AQ$2)</f>
        <v>6.4499999999999993</v>
      </c>
      <c r="AR27" s="1077">
        <f>SUM(AT27+AM27*$AR$2)</f>
        <v>9</v>
      </c>
      <c r="AS27" s="1077">
        <f>SUM(AT27+AM27*$AS$2)</f>
        <v>11.549999999999999</v>
      </c>
      <c r="AT27" s="1078">
        <f t="shared" si="8"/>
        <v>1.35</v>
      </c>
      <c r="AU27" s="1039" t="s">
        <v>948</v>
      </c>
    </row>
    <row r="28" spans="1:47">
      <c r="C28" s="1068"/>
      <c r="D28" s="1068"/>
      <c r="E28" s="1069"/>
      <c r="F28" s="1068"/>
      <c r="G28" s="1068"/>
      <c r="H28" s="1069"/>
      <c r="I28" s="1070"/>
      <c r="J28" s="1070"/>
      <c r="K28" s="1069"/>
      <c r="L28" s="1071"/>
      <c r="M28" s="1071"/>
      <c r="N28" s="1069"/>
      <c r="O28" s="1071"/>
      <c r="P28" s="1071"/>
      <c r="Q28" s="1071"/>
      <c r="R28" s="1069"/>
      <c r="S28" s="1071"/>
      <c r="T28" s="1071"/>
      <c r="U28" s="1072"/>
      <c r="V28" s="1073"/>
      <c r="W28" s="1074"/>
      <c r="X28" s="1073"/>
      <c r="Y28" s="1074"/>
      <c r="Z28" s="1069"/>
      <c r="AB28" s="1075"/>
      <c r="AC28" s="1076"/>
      <c r="AD28" s="1075"/>
      <c r="AE28" s="1080">
        <v>0</v>
      </c>
      <c r="AF28" s="1081">
        <f>SUM(AD27)*$AF$4</f>
        <v>3.4</v>
      </c>
      <c r="AG28" s="1081">
        <f>SUM(AD27)*$AG$4</f>
        <v>6.8</v>
      </c>
      <c r="AH28" s="1081">
        <f>SUM(AD27)*$AH$4</f>
        <v>10.199999999999999</v>
      </c>
      <c r="AI28" s="1081">
        <f>SUM(AD27)*$AI$4</f>
        <v>13.6</v>
      </c>
      <c r="AJ28" s="1078"/>
      <c r="AK28" s="1039" t="s">
        <v>948</v>
      </c>
      <c r="AL28" s="1079"/>
      <c r="AM28" s="1079"/>
      <c r="AN28" s="1079"/>
      <c r="AO28" s="1080">
        <v>0</v>
      </c>
      <c r="AP28" s="1081">
        <f>SUM(AN27*$AP$4)</f>
        <v>2.5</v>
      </c>
      <c r="AQ28" s="1081">
        <f>SUM(AN27*$AQ$4)</f>
        <v>5</v>
      </c>
      <c r="AR28" s="1081">
        <f>SUM(AN27*$AR$4)</f>
        <v>7.5</v>
      </c>
      <c r="AS28" s="1081">
        <f>SUM(AN27*$AS$4)</f>
        <v>10</v>
      </c>
      <c r="AT28" s="1078"/>
      <c r="AU28" s="1039" t="s">
        <v>948</v>
      </c>
    </row>
    <row r="29" spans="1:47">
      <c r="A29" s="1327" t="s">
        <v>958</v>
      </c>
      <c r="B29" s="1327"/>
      <c r="C29" s="1068">
        <v>7.8</v>
      </c>
      <c r="D29" s="1068">
        <v>24.9</v>
      </c>
      <c r="E29" s="1069"/>
      <c r="F29" s="1068">
        <v>13.7</v>
      </c>
      <c r="G29" s="1068">
        <v>34</v>
      </c>
      <c r="H29" s="1069"/>
      <c r="I29" s="1070">
        <v>20.3</v>
      </c>
      <c r="J29" s="1070">
        <v>43.5</v>
      </c>
      <c r="K29" s="1069"/>
      <c r="L29" s="1071">
        <v>18.399999999999999</v>
      </c>
      <c r="M29" s="1071">
        <v>25.6</v>
      </c>
      <c r="N29" s="1069"/>
      <c r="O29" s="1071">
        <v>41.4</v>
      </c>
      <c r="P29" s="1071">
        <v>48.4</v>
      </c>
      <c r="Q29" s="1071">
        <v>33.299999999999997</v>
      </c>
      <c r="R29" s="1069"/>
      <c r="S29" s="1071">
        <v>56.7</v>
      </c>
      <c r="T29" s="1071">
        <v>49.2</v>
      </c>
      <c r="U29" s="1072"/>
      <c r="V29" s="1073">
        <f t="shared" si="0"/>
        <v>10.75</v>
      </c>
      <c r="W29" s="1074">
        <f t="shared" si="0"/>
        <v>29.45</v>
      </c>
      <c r="X29" s="1073">
        <f t="shared" si="1"/>
        <v>20.3</v>
      </c>
      <c r="Y29" s="1074">
        <f t="shared" si="1"/>
        <v>43.5</v>
      </c>
      <c r="Z29" s="1069"/>
      <c r="AB29" s="1075">
        <f t="shared" si="2"/>
        <v>10.75</v>
      </c>
      <c r="AC29" s="1076">
        <f t="shared" si="3"/>
        <v>22.975000000000001</v>
      </c>
      <c r="AD29" s="1075">
        <f t="shared" si="4"/>
        <v>1.866666666666666</v>
      </c>
      <c r="AE29" s="1077">
        <v>0</v>
      </c>
      <c r="AF29" s="1077">
        <f>SUM(AC29+AJ29*$AF$2)</f>
        <v>10.75</v>
      </c>
      <c r="AG29" s="1077">
        <f>SUM(AJ29+AC29*$AG$2)</f>
        <v>33.725000000000001</v>
      </c>
      <c r="AH29" s="1077">
        <f>SUM(AJ29+AC29*$AH$2)</f>
        <v>56.70000000000001</v>
      </c>
      <c r="AI29" s="1077">
        <f>SUM(AJ29+AC29*$AI$2)</f>
        <v>79.675000000000011</v>
      </c>
      <c r="AJ29" s="1082">
        <f t="shared" si="9"/>
        <v>-12.225000000000001</v>
      </c>
      <c r="AK29" s="1039" t="s">
        <v>948</v>
      </c>
      <c r="AL29" s="1079">
        <f t="shared" si="5"/>
        <v>20.3</v>
      </c>
      <c r="AM29" s="1079">
        <f t="shared" si="6"/>
        <v>18.200000000000003</v>
      </c>
      <c r="AN29" s="1079">
        <f t="shared" si="7"/>
        <v>0</v>
      </c>
      <c r="AO29" s="1077">
        <v>0</v>
      </c>
      <c r="AP29" s="1077">
        <f>SUM(AT29+AM29*$AP$2)</f>
        <v>20.3</v>
      </c>
      <c r="AQ29" s="1077">
        <f>SUM(AT29+AM29*$AQ$2)</f>
        <v>38.5</v>
      </c>
      <c r="AR29" s="1077">
        <f>SUM(AT29+AM29*$AR$2)</f>
        <v>56.7</v>
      </c>
      <c r="AS29" s="1077">
        <f>SUM(AT29+AM29*$AS$2)</f>
        <v>74.900000000000006</v>
      </c>
      <c r="AT29" s="1078">
        <f t="shared" si="8"/>
        <v>2.0999999999999979</v>
      </c>
      <c r="AU29" s="1039" t="s">
        <v>948</v>
      </c>
    </row>
    <row r="30" spans="1:47">
      <c r="C30" s="1068"/>
      <c r="D30" s="1068"/>
      <c r="E30" s="1069"/>
      <c r="F30" s="1068"/>
      <c r="G30" s="1068"/>
      <c r="H30" s="1069"/>
      <c r="I30" s="1070"/>
      <c r="J30" s="1070"/>
      <c r="K30" s="1069"/>
      <c r="L30" s="1071"/>
      <c r="M30" s="1071"/>
      <c r="N30" s="1069"/>
      <c r="O30" s="1071"/>
      <c r="P30" s="1071"/>
      <c r="Q30" s="1071"/>
      <c r="R30" s="1069"/>
      <c r="S30" s="1071"/>
      <c r="T30" s="1071"/>
      <c r="U30" s="1072"/>
      <c r="V30" s="1073"/>
      <c r="W30" s="1074"/>
      <c r="X30" s="1073"/>
      <c r="Y30" s="1074"/>
      <c r="Z30" s="1069"/>
      <c r="AB30" s="1075"/>
      <c r="AC30" s="1076"/>
      <c r="AD30" s="1075"/>
      <c r="AE30" s="1080">
        <v>0</v>
      </c>
      <c r="AF30" s="1081">
        <f>SUM(AD29)*$AF$4</f>
        <v>1.866666666666666</v>
      </c>
      <c r="AG30" s="1081">
        <f>SUM(AD29)*$AG$4</f>
        <v>3.7333333333333321</v>
      </c>
      <c r="AH30" s="1081">
        <f>SUM(AD29)*$AH$4</f>
        <v>5.5999999999999979</v>
      </c>
      <c r="AI30" s="1081">
        <f>SUM(AD29)*$AI$4</f>
        <v>7.4666666666666641</v>
      </c>
      <c r="AJ30" s="1078"/>
      <c r="AK30" s="1039" t="s">
        <v>948</v>
      </c>
      <c r="AL30" s="1079"/>
      <c r="AM30" s="1079"/>
      <c r="AN30" s="1079"/>
      <c r="AO30" s="1080">
        <v>0</v>
      </c>
      <c r="AP30" s="1081">
        <f>SUM(AN29*$AP$4)</f>
        <v>0</v>
      </c>
      <c r="AQ30" s="1081">
        <f>SUM(AN29*$AQ$4)</f>
        <v>0</v>
      </c>
      <c r="AR30" s="1081">
        <f>SUM(AN29*$AR$4)</f>
        <v>0</v>
      </c>
      <c r="AS30" s="1081">
        <f>SUM(AN29*$AS$4)</f>
        <v>0</v>
      </c>
      <c r="AT30" s="1078"/>
      <c r="AU30" s="1039" t="s">
        <v>948</v>
      </c>
    </row>
    <row r="31" spans="1:47">
      <c r="A31" s="1318" t="s">
        <v>959</v>
      </c>
      <c r="B31" s="1318"/>
      <c r="C31" s="1068">
        <v>24.1</v>
      </c>
      <c r="D31" s="1068">
        <v>28</v>
      </c>
      <c r="E31" s="1069"/>
      <c r="F31" s="1068">
        <v>24.7</v>
      </c>
      <c r="G31" s="1068">
        <v>44.5</v>
      </c>
      <c r="H31" s="1069"/>
      <c r="I31" s="1070">
        <v>22.9</v>
      </c>
      <c r="J31" s="1070">
        <v>44.3</v>
      </c>
      <c r="K31" s="1069"/>
      <c r="L31" s="1071">
        <v>29.2</v>
      </c>
      <c r="M31" s="1071">
        <v>26.5</v>
      </c>
      <c r="N31" s="1069"/>
      <c r="O31" s="1071">
        <v>54.3</v>
      </c>
      <c r="P31" s="1071">
        <v>56.7</v>
      </c>
      <c r="Q31" s="1071">
        <v>46.1</v>
      </c>
      <c r="R31" s="1069"/>
      <c r="S31" s="1071">
        <v>55.1</v>
      </c>
      <c r="T31" s="1071">
        <v>55.9</v>
      </c>
      <c r="U31" s="1072"/>
      <c r="V31" s="1086">
        <f>AVERAGE(C31,F31)</f>
        <v>24.4</v>
      </c>
      <c r="W31" s="1087">
        <f t="shared" ref="W31" si="10">AVERAGE(D31,G31)</f>
        <v>36.25</v>
      </c>
      <c r="X31" s="1086">
        <f t="shared" si="1"/>
        <v>22.9</v>
      </c>
      <c r="Y31" s="1087">
        <f t="shared" si="1"/>
        <v>44.3</v>
      </c>
      <c r="Z31" s="1069"/>
      <c r="AB31" s="1075">
        <f t="shared" si="2"/>
        <v>24.4</v>
      </c>
      <c r="AC31" s="1076">
        <f>AVERAGE((W31-V31),(S31-W31))</f>
        <v>15.350000000000001</v>
      </c>
      <c r="AD31" s="1075">
        <f>MAX(0,(AVERAGE(L31-V31,(M31-L31),(O31-W31),(P31-O31),(Q31-P31),(T31-S31))))</f>
        <v>2.125</v>
      </c>
      <c r="AE31" s="1077">
        <v>0</v>
      </c>
      <c r="AF31" s="1077">
        <f>SUM(AC31+AJ31*$AF$2)</f>
        <v>24.4</v>
      </c>
      <c r="AG31" s="1077">
        <f>SUM(AJ31+AC31*$AG$2)</f>
        <v>39.75</v>
      </c>
      <c r="AH31" s="1077">
        <f>SUM(AJ31+AC31*$AH$2)</f>
        <v>55.1</v>
      </c>
      <c r="AI31" s="1077">
        <f>SUM(AJ31+AC31*$AI$2)</f>
        <v>70.45</v>
      </c>
      <c r="AJ31" s="1078">
        <f t="shared" si="9"/>
        <v>9.0499999999999972</v>
      </c>
      <c r="AK31" s="1039" t="s">
        <v>948</v>
      </c>
      <c r="AL31" s="1079">
        <f>X31</f>
        <v>22.9</v>
      </c>
      <c r="AM31" s="1079">
        <f t="shared" si="6"/>
        <v>16.100000000000001</v>
      </c>
      <c r="AN31" s="1079">
        <f t="shared" si="7"/>
        <v>1.0333333333333339</v>
      </c>
      <c r="AO31" s="1077">
        <v>0</v>
      </c>
      <c r="AP31" s="1077">
        <f>SUM(AT31+AM31*$AP$2)</f>
        <v>22.9</v>
      </c>
      <c r="AQ31" s="1077">
        <f>SUM(AT31+AM31*$AQ$2)</f>
        <v>39</v>
      </c>
      <c r="AR31" s="1077">
        <f>SUM(AT31+AM31*$AR$2)</f>
        <v>55.1</v>
      </c>
      <c r="AS31" s="1077">
        <f>SUM(AT31+AM31*$AS$2)</f>
        <v>71.2</v>
      </c>
      <c r="AT31" s="1078">
        <f t="shared" si="8"/>
        <v>6.7999999999999972</v>
      </c>
      <c r="AU31" s="1039" t="s">
        <v>948</v>
      </c>
    </row>
    <row r="32" spans="1:47">
      <c r="U32" s="1065"/>
      <c r="V32" s="1088"/>
      <c r="W32" s="1088"/>
      <c r="X32" s="1088"/>
      <c r="Y32" s="1088"/>
      <c r="AB32" s="1075"/>
      <c r="AC32" s="1076"/>
      <c r="AD32" s="1075"/>
      <c r="AE32" s="1080">
        <v>0</v>
      </c>
      <c r="AF32" s="1081">
        <f>SUM(AD31)*$AF$4</f>
        <v>2.125</v>
      </c>
      <c r="AG32" s="1081">
        <f>SUM(AD31)*$AG$4</f>
        <v>4.25</v>
      </c>
      <c r="AH32" s="1081">
        <f>SUM(AD31)*$AH$4</f>
        <v>6.375</v>
      </c>
      <c r="AI32" s="1081">
        <f>SUM(AD31)*$AI$4</f>
        <v>8.5</v>
      </c>
      <c r="AJ32" s="1078"/>
      <c r="AK32" s="1039" t="s">
        <v>948</v>
      </c>
      <c r="AL32" s="1079"/>
      <c r="AM32" s="1079"/>
      <c r="AN32" s="1079"/>
      <c r="AO32" s="1080">
        <v>0</v>
      </c>
      <c r="AP32" s="1081">
        <f>SUM(AN31*$AP$4)</f>
        <v>1.0333333333333339</v>
      </c>
      <c r="AQ32" s="1081">
        <f>SUM(AN31*$AQ$4)</f>
        <v>2.0666666666666678</v>
      </c>
      <c r="AR32" s="1081">
        <f>SUM(AN31*$AR$4)</f>
        <v>3.1000000000000014</v>
      </c>
      <c r="AS32" s="1081">
        <f>SUM(AN31*$AS$4)</f>
        <v>4.1333333333333355</v>
      </c>
      <c r="AT32" s="1078"/>
      <c r="AU32" s="1039" t="s">
        <v>948</v>
      </c>
    </row>
    <row r="33" spans="1:47">
      <c r="A33" s="1046" t="s">
        <v>960</v>
      </c>
      <c r="U33" s="1065"/>
      <c r="V33" s="1088"/>
      <c r="W33" s="1088"/>
      <c r="X33" s="1088"/>
      <c r="Y33" s="1088"/>
      <c r="AB33" s="1075"/>
      <c r="AC33" s="1076"/>
      <c r="AD33" s="1075"/>
      <c r="AE33" s="1089"/>
      <c r="AF33" s="1089"/>
      <c r="AG33" s="1089"/>
      <c r="AH33" s="1089"/>
      <c r="AI33" s="1089"/>
      <c r="AJ33" s="1078"/>
      <c r="AL33" s="1079"/>
      <c r="AM33" s="1079"/>
      <c r="AN33" s="1090"/>
      <c r="AO33" s="1069"/>
      <c r="AP33" s="1069"/>
      <c r="AT33" s="1091"/>
    </row>
    <row r="34" spans="1:47">
      <c r="U34" s="1065"/>
      <c r="V34" s="1088"/>
      <c r="W34" s="1088"/>
      <c r="X34" s="1088"/>
      <c r="Y34" s="1088"/>
      <c r="AB34" s="1092" t="s">
        <v>961</v>
      </c>
      <c r="AC34" s="1093"/>
      <c r="AD34" s="1094"/>
      <c r="AE34" s="1314" t="s">
        <v>944</v>
      </c>
      <c r="AF34" s="1314"/>
      <c r="AG34" s="1314"/>
      <c r="AH34" s="1314"/>
      <c r="AI34" s="1314"/>
      <c r="AJ34" s="1078"/>
      <c r="AL34" s="1092" t="s">
        <v>961</v>
      </c>
      <c r="AM34" s="1093"/>
      <c r="AN34" s="1094"/>
      <c r="AO34" s="1314" t="s">
        <v>944</v>
      </c>
      <c r="AP34" s="1314"/>
      <c r="AQ34" s="1314"/>
      <c r="AR34" s="1314"/>
      <c r="AS34" s="1314"/>
      <c r="AT34" s="1091"/>
    </row>
    <row r="35" spans="1:47">
      <c r="A35" s="1318" t="s">
        <v>962</v>
      </c>
      <c r="B35" s="1318"/>
      <c r="C35" s="1095">
        <v>0.45300000000000001</v>
      </c>
      <c r="D35" s="1095">
        <v>0.371</v>
      </c>
      <c r="E35" s="1095"/>
      <c r="F35" s="1095">
        <v>0.45300000000000001</v>
      </c>
      <c r="G35" s="1095">
        <v>0.371</v>
      </c>
      <c r="H35" s="1095"/>
      <c r="I35" s="1095">
        <v>0.41</v>
      </c>
      <c r="J35" s="1095">
        <v>0.36</v>
      </c>
      <c r="K35" s="1096"/>
      <c r="L35" s="1095">
        <v>0.3</v>
      </c>
      <c r="M35" s="1095">
        <v>0.35</v>
      </c>
      <c r="N35" s="1095"/>
      <c r="O35" s="1095">
        <v>0.37</v>
      </c>
      <c r="P35" s="1095">
        <v>0.31</v>
      </c>
      <c r="Q35" s="1095">
        <v>0.37</v>
      </c>
      <c r="R35" s="1095"/>
      <c r="S35" s="1095">
        <v>0.317</v>
      </c>
      <c r="T35" s="1095">
        <v>0.32800000000000001</v>
      </c>
      <c r="U35" s="1097"/>
      <c r="V35" s="1098">
        <v>0.45300000000000001</v>
      </c>
      <c r="W35" s="1098">
        <v>0.371</v>
      </c>
      <c r="X35" s="1088"/>
      <c r="Y35" s="1088"/>
      <c r="Z35" s="1099"/>
      <c r="AB35" s="1075"/>
      <c r="AC35" s="1076"/>
      <c r="AD35" s="1075"/>
      <c r="AE35" s="1089"/>
      <c r="AF35" s="1089"/>
      <c r="AG35" s="1089"/>
      <c r="AH35" s="1089"/>
      <c r="AI35" s="1089"/>
      <c r="AJ35" s="1078"/>
      <c r="AL35" s="1079"/>
      <c r="AM35" s="1079"/>
      <c r="AN35" s="1090"/>
      <c r="AO35" s="1069"/>
      <c r="AP35" s="1069"/>
      <c r="AT35" s="1091"/>
    </row>
    <row r="36" spans="1:47">
      <c r="A36" s="1067" t="s">
        <v>963</v>
      </c>
      <c r="C36" s="1100">
        <f>SUM(C21*C35)</f>
        <v>5.3907000000000007</v>
      </c>
      <c r="D36" s="1100">
        <f>SUM(D21*D35)</f>
        <v>15.470700000000001</v>
      </c>
      <c r="E36" s="1100">
        <f>SUM(E21*E35)</f>
        <v>0</v>
      </c>
      <c r="F36" s="1100">
        <f>SUM(F21*F35)</f>
        <v>11.2797</v>
      </c>
      <c r="G36" s="1100">
        <f>SUM(G21*G35)</f>
        <v>23.001999999999999</v>
      </c>
      <c r="H36" s="1101"/>
      <c r="I36" s="1102">
        <f>SUM(I21*I35)</f>
        <v>17.547999999999998</v>
      </c>
      <c r="J36" s="1102">
        <f>SUM(J21*J35)</f>
        <v>32.147999999999996</v>
      </c>
      <c r="K36" s="1103"/>
      <c r="L36" s="1104">
        <f>SUM(L21*L35)</f>
        <v>9.66</v>
      </c>
      <c r="M36" s="1104">
        <f t="shared" ref="M36:Q36" si="11">SUM(M21*M35)</f>
        <v>16.695</v>
      </c>
      <c r="N36" s="1101">
        <f t="shared" si="11"/>
        <v>0</v>
      </c>
      <c r="O36" s="1104">
        <f t="shared" si="11"/>
        <v>40.33</v>
      </c>
      <c r="P36" s="1104">
        <f t="shared" si="11"/>
        <v>33.262999999999998</v>
      </c>
      <c r="Q36" s="1104">
        <f t="shared" si="11"/>
        <v>32.634</v>
      </c>
      <c r="R36" s="1103"/>
      <c r="S36" s="1104">
        <f>SUM(S21*S35)</f>
        <v>39.846899999999998</v>
      </c>
      <c r="T36" s="1104">
        <f>SUM(T21*T35)</f>
        <v>37.096800000000002</v>
      </c>
      <c r="U36" s="1105"/>
      <c r="V36" s="1106">
        <f>AVERAGE(C36,F36)</f>
        <v>8.3352000000000004</v>
      </c>
      <c r="W36" s="1106">
        <f>AVERAGE(D36,G36)</f>
        <v>19.236350000000002</v>
      </c>
      <c r="X36" s="1106">
        <f>I36</f>
        <v>17.547999999999998</v>
      </c>
      <c r="Y36" s="1106">
        <f t="shared" si="1"/>
        <v>32.147999999999996</v>
      </c>
      <c r="Z36" s="1107"/>
      <c r="AB36" s="1075">
        <f>V36</f>
        <v>8.3352000000000004</v>
      </c>
      <c r="AC36" s="1075">
        <f>AVERAGE((W36-V36),(S36-W36))</f>
        <v>15.755849999999999</v>
      </c>
      <c r="AD36" s="1075">
        <f t="shared" ref="AD36" si="12">MAX(0,(AVERAGE(L36-V36,(M36-L36),(O36-W36),(P36-O36),(Q36-P36),(T36-S36))))</f>
        <v>3.1678916666666672</v>
      </c>
      <c r="AE36" s="1077">
        <v>0</v>
      </c>
      <c r="AF36" s="1077">
        <f>SUM(AJ36+AC36*$AF$2)</f>
        <v>8.3352000000000004</v>
      </c>
      <c r="AG36" s="1077">
        <f>SUM(AJ36+AC36*$AG$2)</f>
        <v>24.091049999999999</v>
      </c>
      <c r="AH36" s="1077">
        <f>SUM(AJ36+AC36*$AH$2)</f>
        <v>39.846900000000005</v>
      </c>
      <c r="AI36" s="1077">
        <f>SUM(AJ36+AC36*$AI$2)</f>
        <v>55.60275</v>
      </c>
      <c r="AJ36" s="1078">
        <f t="shared" si="9"/>
        <v>-7.4206499999999984</v>
      </c>
      <c r="AK36" s="1039" t="s">
        <v>948</v>
      </c>
      <c r="AL36" s="1079">
        <f>X36</f>
        <v>17.547999999999998</v>
      </c>
      <c r="AM36" s="1079">
        <f t="shared" si="6"/>
        <v>11.14945</v>
      </c>
      <c r="AN36" s="1090">
        <f t="shared" si="7"/>
        <v>0</v>
      </c>
      <c r="AO36" s="1070">
        <v>0</v>
      </c>
      <c r="AP36" s="1077">
        <f>SUM(AT36+AM36*$AP$2)</f>
        <v>17.547999999999998</v>
      </c>
      <c r="AQ36" s="1077">
        <f>SUM(AT36+AM36*$AQ$2)</f>
        <v>28.697449999999996</v>
      </c>
      <c r="AR36" s="1077">
        <f>SUM(AT36+AM36*$AR$2)</f>
        <v>39.846899999999998</v>
      </c>
      <c r="AS36" s="1077">
        <f>SUM(AT36+AM36*$AS$2)</f>
        <v>50.99635</v>
      </c>
      <c r="AT36" s="1078">
        <f t="shared" si="8"/>
        <v>6.3985499999999984</v>
      </c>
      <c r="AU36" s="1039" t="s">
        <v>948</v>
      </c>
    </row>
    <row r="37" spans="1:47">
      <c r="B37" s="1067"/>
      <c r="U37" s="1065"/>
      <c r="V37" s="1088"/>
      <c r="W37" s="1088"/>
      <c r="X37" s="1088"/>
      <c r="Y37" s="1088"/>
      <c r="AB37" s="1075"/>
      <c r="AC37" s="1076"/>
      <c r="AD37" s="1075"/>
      <c r="AE37" s="1080">
        <v>0</v>
      </c>
      <c r="AF37" s="1081">
        <f>SUM(AD36)*$AF$4</f>
        <v>3.1678916666666672</v>
      </c>
      <c r="AG37" s="1081">
        <f>SUM(AD36)*$AG$4</f>
        <v>6.3357833333333344</v>
      </c>
      <c r="AH37" s="1081">
        <f>SUM(AD36)*$AH$4</f>
        <v>9.5036750000000012</v>
      </c>
      <c r="AI37" s="1081">
        <f>SUM(AD36)*$AI$4</f>
        <v>12.671566666666669</v>
      </c>
      <c r="AJ37" s="1078"/>
      <c r="AK37" s="1039" t="s">
        <v>948</v>
      </c>
      <c r="AL37" s="1079"/>
      <c r="AM37" s="1079"/>
      <c r="AN37" s="1090"/>
      <c r="AO37" s="1108">
        <v>0</v>
      </c>
      <c r="AP37" s="1081">
        <f>SUM(AN36*$AP$4)</f>
        <v>0</v>
      </c>
      <c r="AQ37" s="1081">
        <f>SUM(AN36*$AQ$4)</f>
        <v>0</v>
      </c>
      <c r="AR37" s="1081">
        <f>SUM(AN36*$AR$4)</f>
        <v>0</v>
      </c>
      <c r="AS37" s="1081">
        <f>SUM(AN36*$AS$4)</f>
        <v>0</v>
      </c>
      <c r="AT37" s="1078"/>
      <c r="AU37" s="1039" t="s">
        <v>948</v>
      </c>
    </row>
    <row r="38" spans="1:47">
      <c r="A38" s="1318" t="s">
        <v>964</v>
      </c>
      <c r="B38" s="1318"/>
      <c r="C38" s="1109">
        <v>0.23</v>
      </c>
      <c r="D38" s="1109">
        <v>0.26700000000000002</v>
      </c>
      <c r="E38" s="1109"/>
      <c r="F38" s="1109">
        <v>0.23</v>
      </c>
      <c r="G38" s="1109">
        <v>0.26700000000000002</v>
      </c>
      <c r="H38" s="1109"/>
      <c r="I38" s="1109">
        <v>0.26</v>
      </c>
      <c r="J38" s="1109">
        <v>0.3</v>
      </c>
      <c r="K38" s="1096"/>
      <c r="L38" s="1109">
        <v>0.33</v>
      </c>
      <c r="M38" s="1109">
        <v>0.28999999999999998</v>
      </c>
      <c r="N38" s="1109"/>
      <c r="O38" s="1109">
        <v>0.27</v>
      </c>
      <c r="P38" s="1109">
        <v>0.24</v>
      </c>
      <c r="Q38" s="1109">
        <v>0.37</v>
      </c>
      <c r="R38" s="1109"/>
      <c r="S38" s="1109">
        <v>0.39700000000000002</v>
      </c>
      <c r="T38" s="1109">
        <v>0.35599999999999998</v>
      </c>
      <c r="U38" s="1110"/>
      <c r="V38" s="1098">
        <v>0.23</v>
      </c>
      <c r="W38" s="1098">
        <v>0.26700000000000002</v>
      </c>
      <c r="X38" s="1088"/>
      <c r="Y38" s="1088"/>
      <c r="Z38" s="1111"/>
      <c r="AB38" s="1075"/>
      <c r="AC38" s="1076"/>
      <c r="AD38" s="1075"/>
      <c r="AE38" s="1089"/>
      <c r="AF38" s="1089"/>
      <c r="AG38" s="1089"/>
      <c r="AH38" s="1089"/>
      <c r="AI38" s="1089"/>
      <c r="AJ38" s="1078"/>
      <c r="AL38" s="1079"/>
      <c r="AM38" s="1079"/>
      <c r="AN38" s="1090"/>
      <c r="AO38" s="1069"/>
      <c r="AT38" s="1078"/>
    </row>
    <row r="39" spans="1:47">
      <c r="A39" s="1039" t="s">
        <v>965</v>
      </c>
      <c r="C39" s="1112">
        <f>SUM(C31*C38)</f>
        <v>5.5430000000000001</v>
      </c>
      <c r="D39" s="1112">
        <f>SUM(D31*D38)</f>
        <v>7.4760000000000009</v>
      </c>
      <c r="E39" s="1112"/>
      <c r="F39" s="1112">
        <f>SUM(F31*F38)</f>
        <v>5.681</v>
      </c>
      <c r="G39" s="1112">
        <f>SUM(G31*G38)</f>
        <v>11.881500000000001</v>
      </c>
      <c r="H39" s="1089"/>
      <c r="I39" s="1077">
        <f>SUM(I31*I38)</f>
        <v>5.9539999999999997</v>
      </c>
      <c r="J39" s="1077">
        <f>SUM(J31*J38)</f>
        <v>13.29</v>
      </c>
      <c r="K39" s="1069"/>
      <c r="L39" s="1113">
        <f>SUM(L31*L38)</f>
        <v>9.636000000000001</v>
      </c>
      <c r="M39" s="1113">
        <f>SUM(M31*M38)</f>
        <v>7.6849999999999996</v>
      </c>
      <c r="N39" s="1089"/>
      <c r="O39" s="1113">
        <f>SUM(O31*O38)</f>
        <v>14.661</v>
      </c>
      <c r="P39" s="1113">
        <f>SUM(P31*P38)</f>
        <v>13.608000000000001</v>
      </c>
      <c r="Q39" s="1113">
        <f>SUM(Q31*Q38)</f>
        <v>17.056999999999999</v>
      </c>
      <c r="R39" s="1069"/>
      <c r="S39" s="1113">
        <f>SUM(S31*S38)</f>
        <v>21.874700000000001</v>
      </c>
      <c r="T39" s="1113">
        <f>SUM(T31*T38)</f>
        <v>19.900399999999998</v>
      </c>
      <c r="U39" s="1072"/>
      <c r="V39" s="1106">
        <f>AVERAGE(C39,F39)</f>
        <v>5.6120000000000001</v>
      </c>
      <c r="W39" s="1106">
        <f>AVERAGE(D39,G39)</f>
        <v>9.6787500000000009</v>
      </c>
      <c r="X39" s="1106">
        <f t="shared" si="1"/>
        <v>5.9539999999999997</v>
      </c>
      <c r="Y39" s="1106">
        <f t="shared" si="1"/>
        <v>13.29</v>
      </c>
      <c r="Z39" s="1069"/>
      <c r="AB39" s="1075">
        <f t="shared" si="2"/>
        <v>5.6120000000000001</v>
      </c>
      <c r="AC39" s="1075">
        <f>AVERAGE((W39-V39),(S39-W39))</f>
        <v>8.1313500000000012</v>
      </c>
      <c r="AD39" s="1075">
        <f t="shared" si="4"/>
        <v>1.2461583333333326</v>
      </c>
      <c r="AE39" s="1077">
        <v>0</v>
      </c>
      <c r="AF39" s="1077">
        <f>SUM(AJ39+AC39*$AF$2)</f>
        <v>5.6120000000000001</v>
      </c>
      <c r="AG39" s="1077">
        <f>SUM(AJ39+AC39*$AG$2)</f>
        <v>13.743350000000001</v>
      </c>
      <c r="AH39" s="1077">
        <f>SUM(AJ39+AC39*$AH$2)</f>
        <v>21.874700000000004</v>
      </c>
      <c r="AI39" s="1077">
        <f>SUM(AJ39+AC39*$AI$2)</f>
        <v>30.006050000000002</v>
      </c>
      <c r="AJ39" s="1078">
        <f>SUM(AB39-AC39)</f>
        <v>-2.5193500000000011</v>
      </c>
      <c r="AK39" s="1039" t="s">
        <v>948</v>
      </c>
      <c r="AL39" s="1079">
        <f>X39</f>
        <v>5.9539999999999997</v>
      </c>
      <c r="AM39" s="1079">
        <f t="shared" si="6"/>
        <v>7.96035</v>
      </c>
      <c r="AN39" s="1079">
        <f>MAX(0,(AVERAGE(L39-I39,(M39-L39),(O39-J39),(P39-O39),(Q39-P39),(T39-S39))))</f>
        <v>0.58728333333333271</v>
      </c>
      <c r="AO39" s="1070">
        <v>0</v>
      </c>
      <c r="AP39" s="1077">
        <f>SUM(AT39+AM39*$AP$2)</f>
        <v>5.9539999999999997</v>
      </c>
      <c r="AQ39" s="1077">
        <f>SUM(AT39+AM39*$AQ$2)</f>
        <v>13.914349999999999</v>
      </c>
      <c r="AR39" s="1077">
        <f>SUM(AT39+AM39*$AR$2)</f>
        <v>21.874700000000001</v>
      </c>
      <c r="AS39" s="1077">
        <f>SUM(AT39+AM39*$AS$2)</f>
        <v>29.835049999999999</v>
      </c>
      <c r="AT39" s="1078">
        <f>SUM(AL39-AM39)</f>
        <v>-2.0063500000000003</v>
      </c>
      <c r="AU39" s="1039" t="s">
        <v>948</v>
      </c>
    </row>
    <row r="40" spans="1:47">
      <c r="U40" s="1065"/>
      <c r="V40" s="1088"/>
      <c r="W40" s="1088"/>
      <c r="X40" s="1088"/>
      <c r="Y40" s="1088"/>
      <c r="AB40" s="1075"/>
      <c r="AC40" s="1076"/>
      <c r="AD40" s="1075"/>
      <c r="AE40" s="1080">
        <v>0</v>
      </c>
      <c r="AF40" s="1081">
        <f>SUM(AD39)*$AF$4</f>
        <v>1.2461583333333326</v>
      </c>
      <c r="AG40" s="1081">
        <f>SUM(AD39)*$AG$4</f>
        <v>2.4923166666666652</v>
      </c>
      <c r="AH40" s="1081">
        <f>SUM(AD39)*$AH$4</f>
        <v>3.7384749999999976</v>
      </c>
      <c r="AI40" s="1081">
        <f>SUM(AD39)*$AI$4</f>
        <v>4.9846333333333304</v>
      </c>
      <c r="AJ40" s="1078"/>
      <c r="AK40" s="1039" t="s">
        <v>948</v>
      </c>
      <c r="AL40" s="1079"/>
      <c r="AM40" s="1079"/>
      <c r="AN40" s="1090"/>
      <c r="AO40" s="1108">
        <v>0</v>
      </c>
      <c r="AP40" s="1081">
        <f>SUM(AN39*$AP$4)</f>
        <v>0.58728333333333271</v>
      </c>
      <c r="AQ40" s="1081">
        <f>SUM(AN39*$AQ$4)</f>
        <v>1.1745666666666654</v>
      </c>
      <c r="AR40" s="1081">
        <f>SUM(AN39*$AR$4)</f>
        <v>1.7618499999999981</v>
      </c>
      <c r="AS40" s="1081">
        <f>SUM(AN39*$AS$4)</f>
        <v>2.3491333333333309</v>
      </c>
      <c r="AT40" s="1061"/>
      <c r="AU40" s="1039" t="s">
        <v>948</v>
      </c>
    </row>
    <row r="41" spans="1:47">
      <c r="A41" s="1039" t="s">
        <v>966</v>
      </c>
      <c r="C41" s="1096">
        <v>0.60699999999999998</v>
      </c>
      <c r="D41" s="1096">
        <v>0.66400000000000003</v>
      </c>
      <c r="E41" s="1096"/>
      <c r="F41" s="1096">
        <v>0.60699999999999998</v>
      </c>
      <c r="G41" s="1096">
        <v>0.66400000000000003</v>
      </c>
      <c r="H41" s="1061"/>
      <c r="I41" s="1096">
        <v>0.34</v>
      </c>
      <c r="J41" s="1096">
        <v>0.33</v>
      </c>
      <c r="K41" s="1096"/>
      <c r="L41" s="1096">
        <v>0.28000000000000003</v>
      </c>
      <c r="M41" s="1096">
        <v>0.24</v>
      </c>
      <c r="N41" s="1096"/>
      <c r="O41" s="1096">
        <v>0.35</v>
      </c>
      <c r="P41" s="1096">
        <v>0.4</v>
      </c>
      <c r="Q41" s="1096">
        <v>0.34</v>
      </c>
      <c r="R41" s="1096"/>
      <c r="S41" s="1096">
        <v>0.36299999999999999</v>
      </c>
      <c r="T41" s="1096">
        <v>0.49199999999999999</v>
      </c>
      <c r="U41" s="1065"/>
      <c r="V41" s="1098">
        <v>0.60699999999999998</v>
      </c>
      <c r="W41" s="1098">
        <v>0.66400000000000003</v>
      </c>
      <c r="X41" s="1088"/>
      <c r="Y41" s="1088"/>
      <c r="AB41" s="1075"/>
      <c r="AC41" s="1076"/>
      <c r="AD41" s="1075"/>
      <c r="AE41" s="1081"/>
      <c r="AF41" s="1081"/>
      <c r="AG41" s="1081"/>
      <c r="AH41" s="1081"/>
      <c r="AI41" s="1081"/>
      <c r="AJ41" s="1078"/>
      <c r="AL41" s="1079"/>
      <c r="AM41" s="1079"/>
      <c r="AN41" s="1090"/>
      <c r="AO41" s="1114"/>
      <c r="AP41" s="1115"/>
      <c r="AQ41" s="1115"/>
      <c r="AR41" s="1115"/>
      <c r="AS41" s="1115"/>
      <c r="AT41" s="1061"/>
    </row>
    <row r="42" spans="1:47">
      <c r="A42" s="1039" t="s">
        <v>967</v>
      </c>
      <c r="C42" s="1112">
        <f>SUM(C15*C41)</f>
        <v>32.292400000000001</v>
      </c>
      <c r="D42" s="1112">
        <f t="shared" ref="D42:J42" si="13">SUM(D15*D41)</f>
        <v>37.715200000000003</v>
      </c>
      <c r="E42" s="1112">
        <f t="shared" si="13"/>
        <v>0</v>
      </c>
      <c r="F42" s="1112">
        <f t="shared" si="13"/>
        <v>28.711099999999998</v>
      </c>
      <c r="G42" s="1112">
        <f t="shared" si="13"/>
        <v>40.371200000000002</v>
      </c>
      <c r="I42" s="1077">
        <f t="shared" si="13"/>
        <v>29.002000000000002</v>
      </c>
      <c r="J42" s="1077">
        <f t="shared" si="13"/>
        <v>31.581000000000003</v>
      </c>
      <c r="L42" s="1113">
        <f t="shared" ref="L42:M42" si="14">SUM(L15*L41)</f>
        <v>32.423999999999999</v>
      </c>
      <c r="M42" s="1113">
        <f t="shared" si="14"/>
        <v>29.088000000000001</v>
      </c>
      <c r="O42" s="1113">
        <f t="shared" ref="O42:Q42" si="15">SUM(O15*O41)</f>
        <v>31.29</v>
      </c>
      <c r="P42" s="1113">
        <f t="shared" si="15"/>
        <v>41.360000000000007</v>
      </c>
      <c r="Q42" s="1113">
        <f t="shared" si="15"/>
        <v>40.46</v>
      </c>
      <c r="S42" s="1113">
        <f t="shared" ref="S42:T42" si="16">SUM(S15*S41)</f>
        <v>38.115000000000002</v>
      </c>
      <c r="T42" s="1113">
        <f t="shared" si="16"/>
        <v>62.533199999999994</v>
      </c>
      <c r="U42" s="1065"/>
      <c r="V42" s="1106">
        <f>AVERAGE(C42,F42)</f>
        <v>30.501750000000001</v>
      </c>
      <c r="W42" s="1106">
        <f>AVERAGE(D42,G42)</f>
        <v>39.043199999999999</v>
      </c>
      <c r="X42" s="1106">
        <f t="shared" ref="X42:Y42" si="17">I42</f>
        <v>29.002000000000002</v>
      </c>
      <c r="Y42" s="1106">
        <f t="shared" si="17"/>
        <v>31.581000000000003</v>
      </c>
      <c r="AB42" s="1075">
        <f t="shared" si="2"/>
        <v>30.501750000000001</v>
      </c>
      <c r="AC42" s="1075">
        <f t="shared" ref="AC42" si="18">AVERAGE((W42-V42),(S42-W42))</f>
        <v>3.8066250000000004</v>
      </c>
      <c r="AD42" s="1075">
        <f t="shared" si="4"/>
        <v>4.0702083333333325</v>
      </c>
      <c r="AE42" s="1077">
        <v>0</v>
      </c>
      <c r="AF42" s="1077">
        <f>SUM(AJ42+AC42*$AF$2)</f>
        <v>30.501750000000001</v>
      </c>
      <c r="AG42" s="1077">
        <f>SUM(AJ42+AC42*$AG$2)</f>
        <v>34.308374999999998</v>
      </c>
      <c r="AH42" s="1077">
        <f>SUM(AJ42+AC42*$AH$2)</f>
        <v>38.115000000000002</v>
      </c>
      <c r="AI42" s="1077">
        <f>SUM(AJ42+AC42*$AI$2)</f>
        <v>41.921625000000006</v>
      </c>
      <c r="AJ42" s="1078">
        <f t="shared" ref="AJ42" si="19">SUM(AB42-AC42)</f>
        <v>26.695125000000001</v>
      </c>
      <c r="AK42" s="1039" t="s">
        <v>948</v>
      </c>
      <c r="AL42" s="1079">
        <f>X42</f>
        <v>29.002000000000002</v>
      </c>
      <c r="AM42" s="1079">
        <f t="shared" ref="AM42" si="20">AVERAGE((Y42-I42),(S42-J42))</f>
        <v>4.5564999999999998</v>
      </c>
      <c r="AN42" s="1079">
        <f t="shared" ref="AN42" si="21">MAX(0,(AVERAGE(L42-I42,(M42-L42),(O42-J42),(P42-O42),(Q42-P42),(T42-S42))))</f>
        <v>5.563866666666665</v>
      </c>
      <c r="AO42" s="1070">
        <v>0</v>
      </c>
      <c r="AP42" s="1077">
        <f>SUM(AT42+AM42*$AP$2)</f>
        <v>29.002000000000002</v>
      </c>
      <c r="AQ42" s="1077">
        <f>SUM(AT42+AM42*$AQ$2)</f>
        <v>33.558500000000002</v>
      </c>
      <c r="AR42" s="1077">
        <f>SUM(AT42+AM42*$AR$2)</f>
        <v>38.115000000000002</v>
      </c>
      <c r="AS42" s="1077">
        <f>SUM(AT42+AM42*$AS$2)</f>
        <v>42.671500000000002</v>
      </c>
      <c r="AT42" s="1116">
        <f>SUM(AL42-AM42)</f>
        <v>24.445500000000003</v>
      </c>
      <c r="AU42" s="1039" t="s">
        <v>948</v>
      </c>
    </row>
    <row r="43" spans="1:47">
      <c r="A43" s="1039" t="s">
        <v>968</v>
      </c>
      <c r="U43" s="1065"/>
      <c r="AB43" s="1066"/>
      <c r="AC43" s="1066"/>
      <c r="AD43" s="1066"/>
      <c r="AE43" s="1080">
        <v>0</v>
      </c>
      <c r="AF43" s="1081">
        <f>SUM(AD42)*$AF$4</f>
        <v>4.0702083333333325</v>
      </c>
      <c r="AG43" s="1081">
        <f>SUM(AD42)*$AG$4</f>
        <v>8.1404166666666651</v>
      </c>
      <c r="AH43" s="1081">
        <f>SUM(AD42)*$AH$4</f>
        <v>12.210624999999997</v>
      </c>
      <c r="AI43" s="1081">
        <f>SUM(AD42)*$AI$4</f>
        <v>16.28083333333333</v>
      </c>
      <c r="AJ43" s="1061"/>
      <c r="AK43" s="1039" t="s">
        <v>948</v>
      </c>
      <c r="AL43" s="1062"/>
      <c r="AM43" s="1062"/>
      <c r="AN43" s="1062"/>
      <c r="AO43" s="1108">
        <v>0</v>
      </c>
      <c r="AP43" s="1081">
        <f>SUM(AN42*$AP$4)</f>
        <v>5.563866666666665</v>
      </c>
      <c r="AQ43" s="1081">
        <f>SUM(AN42*$AQ$4)</f>
        <v>11.12773333333333</v>
      </c>
      <c r="AR43" s="1081">
        <f>SUM(AN42*$AR$4)</f>
        <v>16.691599999999994</v>
      </c>
      <c r="AS43" s="1081">
        <f>SUM(AN42*$AS$4)</f>
        <v>22.25546666666666</v>
      </c>
      <c r="AT43" s="1061"/>
      <c r="AU43" s="1039" t="s">
        <v>948</v>
      </c>
    </row>
    <row r="44" spans="1:47">
      <c r="U44" s="1065"/>
      <c r="AB44" s="1066"/>
      <c r="AC44" s="1066"/>
      <c r="AD44" s="1066"/>
      <c r="AE44" s="1080"/>
      <c r="AF44" s="1081"/>
      <c r="AG44" s="1081"/>
      <c r="AH44" s="1081"/>
      <c r="AI44" s="1081"/>
      <c r="AJ44" s="1061"/>
      <c r="AL44" s="1062"/>
      <c r="AM44" s="1062"/>
      <c r="AN44" s="1062"/>
      <c r="AO44" s="1108"/>
      <c r="AP44" s="1081"/>
      <c r="AQ44" s="1081"/>
      <c r="AR44" s="1081"/>
      <c r="AS44" s="1081"/>
      <c r="AT44" s="1061"/>
    </row>
    <row r="45" spans="1:47">
      <c r="C45" s="1117" t="s">
        <v>969</v>
      </c>
      <c r="D45" s="1117">
        <f>SUM(52/12)</f>
        <v>4.333333333333333</v>
      </c>
      <c r="U45" s="1065"/>
      <c r="AB45" s="1066"/>
      <c r="AC45" s="1066"/>
      <c r="AD45" s="1066"/>
      <c r="AE45" s="1080"/>
      <c r="AF45" s="1081"/>
      <c r="AG45" s="1081"/>
      <c r="AH45" s="1081"/>
      <c r="AI45" s="1081"/>
      <c r="AJ45" s="1061"/>
      <c r="AL45" s="1062"/>
      <c r="AM45" s="1062"/>
      <c r="AN45" s="1062"/>
      <c r="AO45" s="1108"/>
      <c r="AP45" s="1081"/>
      <c r="AQ45" s="1081"/>
      <c r="AR45" s="1081"/>
      <c r="AS45" s="1081"/>
      <c r="AT45" s="1061"/>
    </row>
    <row r="46" spans="1:47">
      <c r="U46" s="1065"/>
    </row>
    <row r="47" spans="1:47">
      <c r="U47" s="1065"/>
    </row>
    <row r="48" spans="1:47">
      <c r="C48" s="1305" t="s">
        <v>912</v>
      </c>
      <c r="D48" s="1305"/>
      <c r="E48" s="1305"/>
      <c r="F48" s="1305"/>
      <c r="G48" s="1305"/>
      <c r="I48" s="1306" t="s">
        <v>146</v>
      </c>
      <c r="J48" s="1306"/>
      <c r="L48" s="1307" t="s">
        <v>913</v>
      </c>
      <c r="M48" s="1307"/>
      <c r="N48" s="1307"/>
      <c r="O48" s="1307"/>
      <c r="P48" s="1307"/>
      <c r="Q48" s="1307"/>
      <c r="R48" s="1307"/>
      <c r="S48" s="1307"/>
      <c r="T48" s="1307"/>
      <c r="U48" s="1043"/>
      <c r="V48" s="1308" t="s">
        <v>914</v>
      </c>
      <c r="W48" s="1309"/>
      <c r="X48" s="1308" t="s">
        <v>915</v>
      </c>
      <c r="Y48" s="1309"/>
      <c r="Z48" s="1044"/>
      <c r="AB48" s="1310" t="s">
        <v>912</v>
      </c>
      <c r="AC48" s="1310"/>
      <c r="AD48" s="1310"/>
      <c r="AE48" s="1298" t="s">
        <v>916</v>
      </c>
      <c r="AF48" s="1299"/>
      <c r="AG48" s="1299"/>
      <c r="AH48" s="1299"/>
      <c r="AI48" s="1300"/>
      <c r="AJ48" s="1301" t="s">
        <v>917</v>
      </c>
      <c r="AL48" s="1302" t="s">
        <v>918</v>
      </c>
      <c r="AM48" s="1302"/>
      <c r="AN48" s="1302"/>
      <c r="AO48" s="1298" t="s">
        <v>71</v>
      </c>
      <c r="AP48" s="1299"/>
      <c r="AQ48" s="1299"/>
      <c r="AR48" s="1299"/>
      <c r="AS48" s="1300"/>
      <c r="AT48" s="1301" t="s">
        <v>917</v>
      </c>
    </row>
    <row r="49" spans="1:46" ht="26.4" customHeight="1">
      <c r="A49" s="1039" t="s">
        <v>919</v>
      </c>
      <c r="C49" s="1303" t="s">
        <v>920</v>
      </c>
      <c r="D49" s="1303"/>
      <c r="E49" s="1118"/>
      <c r="F49" s="1303" t="s">
        <v>921</v>
      </c>
      <c r="G49" s="1303"/>
      <c r="H49" s="1046"/>
      <c r="I49" s="1041"/>
      <c r="J49" s="1041"/>
      <c r="K49" s="1046"/>
      <c r="L49" s="1304" t="s">
        <v>922</v>
      </c>
      <c r="M49" s="1304"/>
      <c r="N49" s="1047"/>
      <c r="O49" s="1304" t="s">
        <v>923</v>
      </c>
      <c r="P49" s="1304"/>
      <c r="Q49" s="1304"/>
      <c r="R49" s="1047"/>
      <c r="S49" s="1304" t="s">
        <v>924</v>
      </c>
      <c r="T49" s="1304"/>
      <c r="U49" s="1048"/>
      <c r="V49" s="1049" t="s">
        <v>922</v>
      </c>
      <c r="W49" s="1049" t="s">
        <v>923</v>
      </c>
      <c r="X49" s="1049" t="s">
        <v>922</v>
      </c>
      <c r="Y49" s="1049" t="s">
        <v>923</v>
      </c>
      <c r="Z49" s="1050"/>
      <c r="AB49" s="1319" t="s">
        <v>925</v>
      </c>
      <c r="AC49" s="1319" t="s">
        <v>926</v>
      </c>
      <c r="AD49" s="1322" t="s">
        <v>927</v>
      </c>
      <c r="AE49" s="1051">
        <v>0</v>
      </c>
      <c r="AF49" s="1052">
        <v>1</v>
      </c>
      <c r="AG49" s="1052">
        <v>2</v>
      </c>
      <c r="AH49" s="1052">
        <v>3</v>
      </c>
      <c r="AI49" s="1052">
        <v>4</v>
      </c>
      <c r="AJ49" s="1301"/>
      <c r="AL49" s="1323" t="s">
        <v>925</v>
      </c>
      <c r="AM49" s="1323" t="s">
        <v>926</v>
      </c>
      <c r="AN49" s="1323" t="s">
        <v>927</v>
      </c>
      <c r="AO49" s="1051">
        <v>0</v>
      </c>
      <c r="AP49" s="1052">
        <v>1</v>
      </c>
      <c r="AQ49" s="1052">
        <v>2</v>
      </c>
      <c r="AR49" s="1052">
        <v>3</v>
      </c>
      <c r="AS49" s="1052">
        <v>4</v>
      </c>
      <c r="AT49" s="1301"/>
    </row>
    <row r="50" spans="1:46">
      <c r="A50" s="1039" t="s">
        <v>928</v>
      </c>
      <c r="C50" s="1040" t="s">
        <v>929</v>
      </c>
      <c r="D50" s="1040" t="s">
        <v>930</v>
      </c>
      <c r="E50" s="1040"/>
      <c r="F50" s="1040" t="s">
        <v>929</v>
      </c>
      <c r="G50" s="1040" t="s">
        <v>931</v>
      </c>
      <c r="H50" s="1044"/>
      <c r="I50" s="1041" t="s">
        <v>929</v>
      </c>
      <c r="J50" s="1041" t="s">
        <v>931</v>
      </c>
      <c r="K50" s="1044"/>
      <c r="L50" s="1042" t="s">
        <v>932</v>
      </c>
      <c r="M50" s="1042" t="s">
        <v>932</v>
      </c>
      <c r="N50" s="1042"/>
      <c r="O50" s="1042" t="s">
        <v>932</v>
      </c>
      <c r="P50" s="1042" t="s">
        <v>932</v>
      </c>
      <c r="Q50" s="1042" t="s">
        <v>932</v>
      </c>
      <c r="R50" s="1042"/>
      <c r="S50" s="1042" t="s">
        <v>933</v>
      </c>
      <c r="T50" s="1042" t="s">
        <v>932</v>
      </c>
      <c r="U50" s="1048"/>
      <c r="V50" s="1053" t="s">
        <v>933</v>
      </c>
      <c r="W50" s="1054" t="s">
        <v>933</v>
      </c>
      <c r="X50" s="1053" t="s">
        <v>933</v>
      </c>
      <c r="Y50" s="1054" t="s">
        <v>933</v>
      </c>
      <c r="Z50" s="1050"/>
      <c r="AB50" s="1320"/>
      <c r="AC50" s="1320"/>
      <c r="AD50" s="1320"/>
      <c r="AE50" s="1324" t="s">
        <v>74</v>
      </c>
      <c r="AF50" s="1325"/>
      <c r="AG50" s="1325"/>
      <c r="AH50" s="1325"/>
      <c r="AI50" s="1326"/>
      <c r="AJ50" s="1301"/>
      <c r="AL50" s="1323"/>
      <c r="AM50" s="1323"/>
      <c r="AN50" s="1323"/>
      <c r="AO50" s="1311" t="s">
        <v>74</v>
      </c>
      <c r="AP50" s="1312"/>
      <c r="AQ50" s="1312"/>
      <c r="AR50" s="1312"/>
      <c r="AS50" s="1313"/>
      <c r="AT50" s="1301"/>
    </row>
    <row r="51" spans="1:46">
      <c r="A51" s="1039" t="s">
        <v>934</v>
      </c>
      <c r="C51" s="1040" t="s">
        <v>935</v>
      </c>
      <c r="D51" s="1040" t="s">
        <v>936</v>
      </c>
      <c r="E51" s="1040"/>
      <c r="F51" s="1040" t="s">
        <v>935</v>
      </c>
      <c r="G51" s="1040" t="s">
        <v>936</v>
      </c>
      <c r="H51" s="1044"/>
      <c r="I51" s="1041" t="s">
        <v>935</v>
      </c>
      <c r="J51" s="1041" t="s">
        <v>936</v>
      </c>
      <c r="K51" s="1044"/>
      <c r="L51" s="1042" t="s">
        <v>937</v>
      </c>
      <c r="M51" s="1042" t="s">
        <v>938</v>
      </c>
      <c r="N51" s="1042"/>
      <c r="O51" s="1042" t="s">
        <v>937</v>
      </c>
      <c r="P51" s="1042" t="s">
        <v>938</v>
      </c>
      <c r="Q51" s="1042" t="s">
        <v>939</v>
      </c>
      <c r="R51" s="1042"/>
      <c r="S51" s="1042" t="s">
        <v>940</v>
      </c>
      <c r="T51" s="1042" t="s">
        <v>940</v>
      </c>
      <c r="U51" s="1048"/>
      <c r="V51" s="1055" t="s">
        <v>940</v>
      </c>
      <c r="W51" s="1055" t="s">
        <v>940</v>
      </c>
      <c r="X51" s="1055" t="s">
        <v>940</v>
      </c>
      <c r="Y51" s="1055" t="s">
        <v>940</v>
      </c>
      <c r="Z51" s="1050"/>
      <c r="AB51" s="1321"/>
      <c r="AC51" s="1321"/>
      <c r="AD51" s="1321"/>
      <c r="AE51" s="1056">
        <v>0</v>
      </c>
      <c r="AF51" s="1057">
        <v>1</v>
      </c>
      <c r="AG51" s="1057">
        <v>2</v>
      </c>
      <c r="AH51" s="1057">
        <v>3</v>
      </c>
      <c r="AI51" s="1057">
        <v>4</v>
      </c>
      <c r="AJ51" s="1301"/>
      <c r="AL51" s="1323"/>
      <c r="AM51" s="1323"/>
      <c r="AN51" s="1323"/>
      <c r="AO51" s="1056">
        <v>0</v>
      </c>
      <c r="AP51" s="1057">
        <v>1</v>
      </c>
      <c r="AQ51" s="1057">
        <v>2</v>
      </c>
      <c r="AR51" s="1057">
        <v>3</v>
      </c>
      <c r="AS51" s="1057">
        <v>4</v>
      </c>
      <c r="AT51" s="1301"/>
    </row>
    <row r="52" spans="1:46" ht="12" customHeight="1">
      <c r="C52" s="1040"/>
      <c r="D52" s="1040"/>
      <c r="E52" s="1040"/>
      <c r="F52" s="1040"/>
      <c r="G52" s="1040"/>
      <c r="H52" s="1044"/>
      <c r="I52" s="1041"/>
      <c r="J52" s="1041"/>
      <c r="K52" s="1044"/>
      <c r="L52" s="1042" t="s">
        <v>941</v>
      </c>
      <c r="M52" s="1042" t="s">
        <v>942</v>
      </c>
      <c r="N52" s="1042"/>
      <c r="O52" s="1042" t="s">
        <v>941</v>
      </c>
      <c r="P52" s="1042" t="s">
        <v>940</v>
      </c>
      <c r="Q52" s="1042" t="s">
        <v>942</v>
      </c>
      <c r="R52" s="1042"/>
      <c r="S52" s="1042"/>
      <c r="T52" s="1042"/>
      <c r="U52" s="1048"/>
      <c r="V52" s="1058"/>
      <c r="W52" s="1058"/>
      <c r="X52" s="1059"/>
      <c r="Y52" s="1059"/>
      <c r="Z52" s="1050"/>
      <c r="AB52" s="1060"/>
      <c r="AC52" s="1060"/>
      <c r="AD52" s="1060"/>
      <c r="AJ52" s="1061"/>
      <c r="AL52" s="1062"/>
      <c r="AM52" s="1062"/>
      <c r="AN52" s="1062"/>
      <c r="AT52" s="1061"/>
    </row>
    <row r="53" spans="1:46" ht="12" customHeight="1">
      <c r="A53" s="1064" t="s">
        <v>970</v>
      </c>
      <c r="C53" s="1119"/>
      <c r="D53" s="1119"/>
      <c r="E53" s="1119"/>
      <c r="F53" s="1119"/>
      <c r="G53" s="1119"/>
      <c r="H53" s="1050"/>
      <c r="I53" s="1120"/>
      <c r="J53" s="1120"/>
      <c r="K53" s="1050"/>
      <c r="L53" s="1063"/>
      <c r="M53" s="1063" t="s">
        <v>940</v>
      </c>
      <c r="N53" s="1063"/>
      <c r="O53" s="1063"/>
      <c r="P53" s="1063"/>
      <c r="Q53" s="1063" t="s">
        <v>940</v>
      </c>
      <c r="R53" s="1063"/>
      <c r="S53" s="1063"/>
      <c r="T53" s="1063"/>
      <c r="U53" s="1048"/>
      <c r="V53" s="1058"/>
      <c r="W53" s="1058"/>
      <c r="X53" s="1059"/>
      <c r="Y53" s="1059"/>
      <c r="Z53" s="1050"/>
      <c r="AB53" s="1060"/>
      <c r="AC53" s="1060"/>
      <c r="AD53" s="1060"/>
      <c r="AE53" s="1314" t="s">
        <v>971</v>
      </c>
      <c r="AF53" s="1314"/>
      <c r="AG53" s="1314"/>
      <c r="AH53" s="1314"/>
      <c r="AI53" s="1314"/>
      <c r="AJ53" s="1061"/>
      <c r="AL53" s="1062"/>
      <c r="AM53" s="1062"/>
      <c r="AN53" s="1062"/>
      <c r="AO53" s="1314" t="s">
        <v>971</v>
      </c>
      <c r="AP53" s="1314"/>
      <c r="AQ53" s="1314"/>
      <c r="AR53" s="1314"/>
      <c r="AS53" s="1314"/>
      <c r="AT53" s="1061"/>
    </row>
    <row r="54" spans="1:46">
      <c r="C54" s="1121"/>
      <c r="D54" s="1121"/>
      <c r="E54" s="1121"/>
      <c r="F54" s="1121"/>
      <c r="G54" s="1121"/>
      <c r="I54" s="1122"/>
      <c r="J54" s="1122"/>
      <c r="L54" s="1123"/>
      <c r="M54" s="1123"/>
      <c r="N54" s="1123"/>
      <c r="O54" s="1123"/>
      <c r="P54" s="1123"/>
      <c r="Q54" s="1123"/>
      <c r="R54" s="1123"/>
      <c r="S54" s="1123"/>
      <c r="T54" s="1123"/>
      <c r="U54" s="1065"/>
      <c r="V54" s="1316" t="s">
        <v>945</v>
      </c>
      <c r="W54" s="1317"/>
      <c r="X54" s="1316" t="s">
        <v>946</v>
      </c>
      <c r="Y54" s="1317"/>
      <c r="AB54" s="1066"/>
      <c r="AC54" s="1066"/>
      <c r="AD54" s="1066"/>
      <c r="AJ54" s="1066"/>
      <c r="AL54" s="1062"/>
      <c r="AM54" s="1062"/>
      <c r="AN54" s="1062"/>
      <c r="AT54" s="1061"/>
    </row>
    <row r="55" spans="1:46">
      <c r="A55" s="1039" t="s">
        <v>947</v>
      </c>
      <c r="C55" s="1068">
        <f>SUM(C9*$D$45)</f>
        <v>149.5</v>
      </c>
      <c r="D55" s="1068">
        <f>SUM(D9*$D$45)</f>
        <v>263.46666666666664</v>
      </c>
      <c r="E55" s="1068"/>
      <c r="F55" s="1068">
        <f t="shared" ref="F55:S55" si="22">SUM(F9*$D$45)</f>
        <v>151.66666666666666</v>
      </c>
      <c r="G55" s="1068">
        <f>SUM(G9*$D$45)</f>
        <v>299</v>
      </c>
      <c r="I55" s="1070">
        <f t="shared" si="22"/>
        <v>145.16666666666666</v>
      </c>
      <c r="J55" s="1070">
        <f t="shared" si="22"/>
        <v>276.0333333333333</v>
      </c>
      <c r="L55" s="1071">
        <f t="shared" si="22"/>
        <v>185.03333333333333</v>
      </c>
      <c r="M55" s="1071">
        <f t="shared" si="22"/>
        <v>226.6333333333333</v>
      </c>
      <c r="N55" s="1071"/>
      <c r="O55" s="1071">
        <f t="shared" si="22"/>
        <v>323.7</v>
      </c>
      <c r="P55" s="1071">
        <f t="shared" si="22"/>
        <v>373.96666666666664</v>
      </c>
      <c r="Q55" s="1071">
        <f t="shared" si="22"/>
        <v>370.5</v>
      </c>
      <c r="R55" s="1071"/>
      <c r="S55" s="1071">
        <f t="shared" si="22"/>
        <v>380.9</v>
      </c>
      <c r="T55" s="1071">
        <f>SUM(T9*$D$45)</f>
        <v>459.76666666666659</v>
      </c>
      <c r="U55" s="1065"/>
      <c r="V55" s="1106">
        <f>AVERAGE(C55,F55)</f>
        <v>150.58333333333331</v>
      </c>
      <c r="W55" s="1106">
        <f>AVERAGE(D55,G55)</f>
        <v>281.23333333333335</v>
      </c>
      <c r="X55" s="1106">
        <f>I55</f>
        <v>145.16666666666666</v>
      </c>
      <c r="Y55" s="1106">
        <f>J55</f>
        <v>276.0333333333333</v>
      </c>
      <c r="AB55" s="1076">
        <f>V55</f>
        <v>150.58333333333331</v>
      </c>
      <c r="AC55" s="1076">
        <f>AVERAGE((W55-V55),(S55-W55))</f>
        <v>115.15833333333333</v>
      </c>
      <c r="AD55" s="1076">
        <f>MAX(0,(AVERAGE(L55-V55,(M55-L55),(O55-W55),(P55-O55),(Q55-P55),(T55-S55))))</f>
        <v>40.697222222222209</v>
      </c>
      <c r="AE55" s="1070">
        <v>0</v>
      </c>
      <c r="AF55" s="1070">
        <f>SUM(AC55+AJ55*$AF$49)</f>
        <v>150.58333333333331</v>
      </c>
      <c r="AG55" s="1070">
        <f>SUM(AJ55+AC55*$AG$49)</f>
        <v>265.74166666666667</v>
      </c>
      <c r="AH55" s="1070">
        <f>SUM(AJ55+AC55*$AH$49)</f>
        <v>380.9</v>
      </c>
      <c r="AI55" s="1070">
        <f>SUM(AJ55+AC55*$AI$49)</f>
        <v>496.05833333333328</v>
      </c>
      <c r="AJ55" s="1076">
        <f>SUM(AB55-AC55)</f>
        <v>35.424999999999983</v>
      </c>
      <c r="AK55" s="1069"/>
      <c r="AL55" s="1090">
        <f>X55</f>
        <v>145.16666666666666</v>
      </c>
      <c r="AM55" s="1090">
        <f>AVERAGE((Y55-I55),(S55-J55))</f>
        <v>117.86666666666666</v>
      </c>
      <c r="AN55" s="1090">
        <f>MAX(0,(AVERAGE(L55-I55,(M55-L55),(O55-J55),(P55-O55),(Q55-P55),(T55-S55))))</f>
        <v>42.466666666666661</v>
      </c>
      <c r="AO55" s="1070">
        <v>0</v>
      </c>
      <c r="AP55" s="1070">
        <f>SUM(AT55+AM55*$AP$49)</f>
        <v>145.16666666666666</v>
      </c>
      <c r="AQ55" s="1070">
        <f>SUM(AT55+AM55*$AQ$49)</f>
        <v>263.0333333333333</v>
      </c>
      <c r="AR55" s="1070">
        <f>SUM(AT55+AM55*$AR$49)</f>
        <v>380.9</v>
      </c>
      <c r="AS55" s="1070">
        <f>SUM(AT55+AM55*$AS$49)</f>
        <v>498.76666666666665</v>
      </c>
      <c r="AT55" s="1091">
        <f>SUM(AL55-AM55)</f>
        <v>27.299999999999997</v>
      </c>
    </row>
    <row r="56" spans="1:46">
      <c r="C56" s="1068"/>
      <c r="D56" s="1068"/>
      <c r="E56" s="1068"/>
      <c r="F56" s="1068"/>
      <c r="G56" s="1068"/>
      <c r="I56" s="1070"/>
      <c r="J56" s="1070"/>
      <c r="L56" s="1071"/>
      <c r="M56" s="1071"/>
      <c r="N56" s="1071"/>
      <c r="O56" s="1071"/>
      <c r="P56" s="1071"/>
      <c r="Q56" s="1071"/>
      <c r="R56" s="1071"/>
      <c r="S56" s="1071"/>
      <c r="T56" s="1071"/>
      <c r="U56" s="1065"/>
      <c r="V56" s="1106"/>
      <c r="W56" s="1106"/>
      <c r="X56" s="1106"/>
      <c r="Y56" s="1106"/>
      <c r="AB56" s="1076"/>
      <c r="AC56" s="1076"/>
      <c r="AD56" s="1076"/>
      <c r="AE56" s="1108">
        <v>0</v>
      </c>
      <c r="AF56" s="1108">
        <f>SUM(AD55)*$AF$51</f>
        <v>40.697222222222209</v>
      </c>
      <c r="AG56" s="1108">
        <f>SUM(AD55)*$AG$51</f>
        <v>81.394444444444417</v>
      </c>
      <c r="AH56" s="1108">
        <f>SUM(AD55)*$AH$51</f>
        <v>122.09166666666663</v>
      </c>
      <c r="AI56" s="1108">
        <f>SUM(AD55)*$AI$51</f>
        <v>162.78888888888883</v>
      </c>
      <c r="AJ56" s="1076"/>
      <c r="AK56" s="1069"/>
      <c r="AL56" s="1090"/>
      <c r="AM56" s="1090"/>
      <c r="AN56" s="1090"/>
      <c r="AO56" s="1114">
        <v>0</v>
      </c>
      <c r="AP56" s="1114">
        <f>SUM(AN55*$AP$51)</f>
        <v>42.466666666666661</v>
      </c>
      <c r="AQ56" s="1114">
        <f>SUM(AN55*$AQ$51)</f>
        <v>84.933333333333323</v>
      </c>
      <c r="AR56" s="1114">
        <f>SUM(AN55*$AR$51)</f>
        <v>127.39999999999998</v>
      </c>
      <c r="AS56" s="1114">
        <f>SUM(AN55*$AS$51)</f>
        <v>169.86666666666665</v>
      </c>
      <c r="AT56" s="1091"/>
    </row>
    <row r="57" spans="1:46">
      <c r="A57" s="1039" t="s">
        <v>949</v>
      </c>
      <c r="C57" s="1068">
        <f t="shared" ref="C57:D57" si="23">SUM(C11*$D$45)</f>
        <v>23.4</v>
      </c>
      <c r="D57" s="1068">
        <f t="shared" si="23"/>
        <v>45.5</v>
      </c>
      <c r="E57" s="1068"/>
      <c r="F57" s="1068">
        <f t="shared" ref="F57:G57" si="24">SUM(F11*$D$45)</f>
        <v>33.366666666666667</v>
      </c>
      <c r="G57" s="1068">
        <f t="shared" si="24"/>
        <v>67.599999999999994</v>
      </c>
      <c r="I57" s="1070">
        <f t="shared" ref="I57:J57" si="25">SUM(I11*$D$45)</f>
        <v>43.333333333333329</v>
      </c>
      <c r="J57" s="1070">
        <f t="shared" si="25"/>
        <v>62.833333333333329</v>
      </c>
      <c r="L57" s="1071">
        <f t="shared" ref="L57:M57" si="26">SUM(L11*$D$45)</f>
        <v>19.066666666666666</v>
      </c>
      <c r="M57" s="1071">
        <f t="shared" si="26"/>
        <v>19.5</v>
      </c>
      <c r="N57" s="1071"/>
      <c r="O57" s="1071">
        <f t="shared" ref="O57:Q57" si="27">SUM(O11*$D$45)</f>
        <v>50.699999999999996</v>
      </c>
      <c r="P57" s="1071">
        <f t="shared" si="27"/>
        <v>52</v>
      </c>
      <c r="Q57" s="1071">
        <f t="shared" si="27"/>
        <v>42.9</v>
      </c>
      <c r="R57" s="1071"/>
      <c r="S57" s="1071">
        <f t="shared" ref="S57:T57" si="28">SUM(S11*$D$45)</f>
        <v>77.566666666666649</v>
      </c>
      <c r="T57" s="1071">
        <f t="shared" si="28"/>
        <v>65.433333333333323</v>
      </c>
      <c r="U57" s="1065"/>
      <c r="V57" s="1106">
        <f t="shared" ref="V57:W77" si="29">AVERAGE(C57,F57)</f>
        <v>28.383333333333333</v>
      </c>
      <c r="W57" s="1106">
        <f t="shared" si="29"/>
        <v>56.55</v>
      </c>
      <c r="X57" s="1106">
        <f t="shared" ref="X57:Y77" si="30">I57</f>
        <v>43.333333333333329</v>
      </c>
      <c r="Y57" s="1106">
        <f t="shared" si="30"/>
        <v>62.833333333333329</v>
      </c>
      <c r="AB57" s="1076">
        <f t="shared" ref="AB57:AB77" si="31">V57</f>
        <v>28.383333333333333</v>
      </c>
      <c r="AC57" s="1076">
        <f t="shared" ref="AC57:AC77" si="32">AVERAGE((W57-V57),(S57-W57))</f>
        <v>24.591666666666658</v>
      </c>
      <c r="AD57" s="1076">
        <f t="shared" ref="AD57:AD77" si="33">MAX(0,(AVERAGE(L57-V57,(M57-L57),(O57-W57),(P57-O57),(Q57-P57),(T57-S57))))</f>
        <v>0</v>
      </c>
      <c r="AE57" s="1070">
        <v>0</v>
      </c>
      <c r="AF57" s="1070">
        <f t="shared" ref="AF57" si="34">SUM(AC57+AJ57*$AF$49)</f>
        <v>28.383333333333333</v>
      </c>
      <c r="AG57" s="1070">
        <f t="shared" ref="AG57" si="35">SUM(AJ57+AC57*$AG$49)</f>
        <v>52.974999999999994</v>
      </c>
      <c r="AH57" s="1070">
        <f t="shared" ref="AH57" si="36">SUM(AJ57+AC57*$AH$49)</f>
        <v>77.566666666666649</v>
      </c>
      <c r="AI57" s="1070">
        <f t="shared" ref="AI57" si="37">SUM(AJ57+AC57*$AI$49)</f>
        <v>102.1583333333333</v>
      </c>
      <c r="AJ57" s="1076">
        <f>SUM(AB57-AC57)</f>
        <v>3.791666666666675</v>
      </c>
      <c r="AK57" s="1069"/>
      <c r="AL57" s="1090">
        <f t="shared" ref="AL57" si="38">X57</f>
        <v>43.333333333333329</v>
      </c>
      <c r="AM57" s="1090">
        <f t="shared" ref="AM57" si="39">AVERAGE((Y57-I57),(S57-J57))</f>
        <v>17.11666666666666</v>
      </c>
      <c r="AN57" s="1090">
        <f t="shared" ref="AN57" si="40">MAX(0,(AVERAGE(L57-I57,(M57-L57),(O57-J57),(P57-O57),(Q57-P57),(T57-S57))))</f>
        <v>0</v>
      </c>
      <c r="AO57" s="1070">
        <v>0</v>
      </c>
      <c r="AP57" s="1070">
        <f t="shared" ref="AP57" si="41">SUM(AT57+AM57*$AP$49)</f>
        <v>43.333333333333329</v>
      </c>
      <c r="AQ57" s="1070">
        <f t="shared" ref="AQ57" si="42">SUM(AT57+AM57*$AQ$49)</f>
        <v>60.449999999999989</v>
      </c>
      <c r="AR57" s="1070">
        <f t="shared" ref="AR57" si="43">SUM(AT57+AM57*$AR$49)</f>
        <v>77.566666666666649</v>
      </c>
      <c r="AS57" s="1070">
        <f t="shared" ref="AS57" si="44">SUM(AT57+AM57*$AS$49)</f>
        <v>94.683333333333309</v>
      </c>
      <c r="AT57" s="1091">
        <f t="shared" ref="AT57:AT77" si="45">SUM(AL57-AM57)</f>
        <v>26.216666666666669</v>
      </c>
    </row>
    <row r="58" spans="1:46">
      <c r="C58" s="1068"/>
      <c r="D58" s="1068"/>
      <c r="E58" s="1068"/>
      <c r="F58" s="1068"/>
      <c r="G58" s="1068"/>
      <c r="I58" s="1070"/>
      <c r="J58" s="1070"/>
      <c r="L58" s="1071"/>
      <c r="M58" s="1071"/>
      <c r="N58" s="1071"/>
      <c r="O58" s="1071"/>
      <c r="P58" s="1071"/>
      <c r="Q58" s="1071"/>
      <c r="R58" s="1071"/>
      <c r="S58" s="1071"/>
      <c r="T58" s="1071"/>
      <c r="U58" s="1065"/>
      <c r="V58" s="1106"/>
      <c r="W58" s="1106"/>
      <c r="X58" s="1106"/>
      <c r="Y58" s="1106"/>
      <c r="AB58" s="1076"/>
      <c r="AC58" s="1076"/>
      <c r="AD58" s="1076"/>
      <c r="AE58" s="1108">
        <v>0</v>
      </c>
      <c r="AF58" s="1108">
        <f>SUM(AD57)*$AF$51</f>
        <v>0</v>
      </c>
      <c r="AG58" s="1108">
        <f>SUM(AD57)*$AG$51</f>
        <v>0</v>
      </c>
      <c r="AH58" s="1108">
        <f>SUM(AD57)*$AH$51</f>
        <v>0</v>
      </c>
      <c r="AI58" s="1108">
        <f>SUM(AD57)*$AI$51</f>
        <v>0</v>
      </c>
      <c r="AJ58" s="1076"/>
      <c r="AK58" s="1069"/>
      <c r="AL58" s="1090"/>
      <c r="AM58" s="1090"/>
      <c r="AN58" s="1090"/>
      <c r="AO58" s="1114">
        <v>0</v>
      </c>
      <c r="AP58" s="1114">
        <f>SUM(AN57*$AP$51)</f>
        <v>0</v>
      </c>
      <c r="AQ58" s="1114">
        <f>SUM(AN57*$AQ$51)</f>
        <v>0</v>
      </c>
      <c r="AR58" s="1114">
        <f t="shared" ref="AR58" si="46">SUM(AN57*$AR$51)</f>
        <v>0</v>
      </c>
      <c r="AS58" s="1114">
        <f t="shared" ref="AS58" si="47">SUM(AN57*$AS$51)</f>
        <v>0</v>
      </c>
      <c r="AT58" s="1091"/>
    </row>
    <row r="59" spans="1:46">
      <c r="A59" s="1039" t="s">
        <v>950</v>
      </c>
      <c r="C59" s="1068">
        <f t="shared" ref="C59:D59" si="48">SUM(C13*$D$45)</f>
        <v>24.266666666666662</v>
      </c>
      <c r="D59" s="1068">
        <f t="shared" si="48"/>
        <v>45.5</v>
      </c>
      <c r="E59" s="1068"/>
      <c r="F59" s="1068">
        <f t="shared" ref="F59:G59" si="49">SUM(F13*$D$45)</f>
        <v>27.733333333333334</v>
      </c>
      <c r="G59" s="1068">
        <f t="shared" si="49"/>
        <v>64.566666666666663</v>
      </c>
      <c r="I59" s="1070">
        <f t="shared" ref="I59:J59" si="50">SUM(I13*$D$45)</f>
        <v>42.466666666666669</v>
      </c>
      <c r="J59" s="1070">
        <f t="shared" si="50"/>
        <v>76.266666666666666</v>
      </c>
      <c r="L59" s="1071">
        <f t="shared" ref="L59:M59" si="51">SUM(L13*$D$45)</f>
        <v>56.333333333333329</v>
      </c>
      <c r="M59" s="1071">
        <f t="shared" si="51"/>
        <v>61.533333333333324</v>
      </c>
      <c r="N59" s="1071"/>
      <c r="O59" s="1071">
        <f t="shared" ref="O59:Q59" si="52">SUM(O13*$D$45)</f>
        <v>113.53333333333332</v>
      </c>
      <c r="P59" s="1071">
        <f t="shared" si="52"/>
        <v>99.23333333333332</v>
      </c>
      <c r="Q59" s="1071">
        <f t="shared" si="52"/>
        <v>124.36666666666666</v>
      </c>
      <c r="R59" s="1071"/>
      <c r="S59" s="1071">
        <f t="shared" ref="S59:T59" si="53">SUM(S13*$D$45)</f>
        <v>131.73333333333332</v>
      </c>
      <c r="T59" s="1071">
        <f t="shared" si="53"/>
        <v>156.43333333333334</v>
      </c>
      <c r="U59" s="1065"/>
      <c r="V59" s="1106">
        <f t="shared" si="29"/>
        <v>26</v>
      </c>
      <c r="W59" s="1106">
        <f t="shared" si="29"/>
        <v>55.033333333333331</v>
      </c>
      <c r="X59" s="1106">
        <f t="shared" si="30"/>
        <v>42.466666666666669</v>
      </c>
      <c r="Y59" s="1106">
        <f t="shared" si="30"/>
        <v>76.266666666666666</v>
      </c>
      <c r="AB59" s="1076">
        <f t="shared" si="31"/>
        <v>26</v>
      </c>
      <c r="AC59" s="1076">
        <f t="shared" si="32"/>
        <v>52.86666666666666</v>
      </c>
      <c r="AD59" s="1076">
        <f t="shared" si="33"/>
        <v>21.594444444444445</v>
      </c>
      <c r="AE59" s="1070">
        <v>0</v>
      </c>
      <c r="AF59" s="1070">
        <f t="shared" ref="AF59" si="54">SUM(AC59+AJ59*$AF$49)</f>
        <v>26</v>
      </c>
      <c r="AG59" s="1070">
        <f t="shared" ref="AG59" si="55">SUM(AJ59+AC59*$AG$49)</f>
        <v>78.86666666666666</v>
      </c>
      <c r="AH59" s="1070">
        <f t="shared" ref="AH59" si="56">SUM(AJ59+AC59*$AH$49)</f>
        <v>131.73333333333329</v>
      </c>
      <c r="AI59" s="1070">
        <f t="shared" ref="AI59" si="57">SUM(AJ59+AC59*$AI$49)</f>
        <v>184.59999999999997</v>
      </c>
      <c r="AJ59" s="1076">
        <f t="shared" ref="AJ59:AJ77" si="58">SUM(AB59-AC59)</f>
        <v>-26.86666666666666</v>
      </c>
      <c r="AK59" s="1069"/>
      <c r="AL59" s="1090">
        <f t="shared" ref="AL59" si="59">X59</f>
        <v>42.466666666666669</v>
      </c>
      <c r="AM59" s="1090">
        <f t="shared" ref="AM59" si="60">AVERAGE((Y59-I59),(S59-J59))</f>
        <v>44.633333333333326</v>
      </c>
      <c r="AN59" s="1090">
        <f t="shared" ref="AN59" si="61">MAX(0,(AVERAGE(L59-I59,(M59-L59),(O59-J59),(P59-O59),(Q59-P59),(T59-S59))))</f>
        <v>15.311111111111112</v>
      </c>
      <c r="AO59" s="1070">
        <v>0</v>
      </c>
      <c r="AP59" s="1070">
        <f t="shared" ref="AP59" si="62">SUM(AT59+AM59*$AP$49)</f>
        <v>42.466666666666669</v>
      </c>
      <c r="AQ59" s="1070">
        <f t="shared" ref="AQ59" si="63">SUM(AT59+AM59*$AQ$49)</f>
        <v>87.1</v>
      </c>
      <c r="AR59" s="1070">
        <f t="shared" ref="AR59" si="64">SUM(AT59+AM59*$AR$49)</f>
        <v>131.73333333333332</v>
      </c>
      <c r="AS59" s="1070">
        <f t="shared" ref="AS59" si="65">SUM(AT59+AM59*$AS$49)</f>
        <v>176.36666666666665</v>
      </c>
      <c r="AT59" s="1091">
        <f t="shared" si="45"/>
        <v>-2.1666666666666572</v>
      </c>
    </row>
    <row r="60" spans="1:46">
      <c r="C60" s="1068"/>
      <c r="D60" s="1068"/>
      <c r="E60" s="1068"/>
      <c r="F60" s="1068"/>
      <c r="G60" s="1068"/>
      <c r="I60" s="1070"/>
      <c r="J60" s="1070"/>
      <c r="L60" s="1071"/>
      <c r="M60" s="1071"/>
      <c r="N60" s="1071"/>
      <c r="O60" s="1071"/>
      <c r="P60" s="1071"/>
      <c r="Q60" s="1071"/>
      <c r="R60" s="1071"/>
      <c r="S60" s="1071"/>
      <c r="T60" s="1071"/>
      <c r="U60" s="1065"/>
      <c r="V60" s="1106"/>
      <c r="W60" s="1106"/>
      <c r="X60" s="1106"/>
      <c r="Y60" s="1106"/>
      <c r="AB60" s="1076"/>
      <c r="AC60" s="1076"/>
      <c r="AD60" s="1076"/>
      <c r="AE60" s="1108">
        <v>0</v>
      </c>
      <c r="AF60" s="1108">
        <f>SUM(AD59)*$AF$51</f>
        <v>21.594444444444445</v>
      </c>
      <c r="AG60" s="1108">
        <f>SUM(AD59)*$AG$51</f>
        <v>43.18888888888889</v>
      </c>
      <c r="AH60" s="1108">
        <f>SUM(AD59)*$AH$51</f>
        <v>64.783333333333331</v>
      </c>
      <c r="AI60" s="1108">
        <f>SUM(AD59)*$AI$51</f>
        <v>86.37777777777778</v>
      </c>
      <c r="AJ60" s="1076"/>
      <c r="AK60" s="1069"/>
      <c r="AL60" s="1090"/>
      <c r="AM60" s="1090"/>
      <c r="AN60" s="1090"/>
      <c r="AO60" s="1114">
        <v>0</v>
      </c>
      <c r="AP60" s="1114">
        <f t="shared" ref="AP60" si="66">SUM(AN59*$AP$51)</f>
        <v>15.311111111111112</v>
      </c>
      <c r="AQ60" s="1114">
        <f t="shared" ref="AQ60" si="67">SUM(AN59*$AQ$51)</f>
        <v>30.622222222222224</v>
      </c>
      <c r="AR60" s="1114">
        <f t="shared" ref="AR60" si="68">SUM(AN59*$AR$51)</f>
        <v>45.933333333333337</v>
      </c>
      <c r="AS60" s="1114">
        <f t="shared" ref="AS60" si="69">SUM(AN59*$AS$51)</f>
        <v>61.244444444444447</v>
      </c>
      <c r="AT60" s="1091"/>
    </row>
    <row r="61" spans="1:46">
      <c r="A61" s="1039" t="s">
        <v>951</v>
      </c>
      <c r="C61" s="1068">
        <f t="shared" ref="C61:D61" si="70">SUM(C15*$D$45)</f>
        <v>230.53333333333333</v>
      </c>
      <c r="D61" s="1068">
        <f t="shared" si="70"/>
        <v>246.1333333333333</v>
      </c>
      <c r="E61" s="1068"/>
      <c r="F61" s="1068">
        <f t="shared" ref="F61:G61" si="71">SUM(F15*$D$45)</f>
        <v>204.96666666666664</v>
      </c>
      <c r="G61" s="1068">
        <f t="shared" si="71"/>
        <v>263.46666666666664</v>
      </c>
      <c r="I61" s="1070">
        <f t="shared" ref="I61:J61" si="72">SUM(I15*$D$45)</f>
        <v>369.63333333333327</v>
      </c>
      <c r="J61" s="1070">
        <f t="shared" si="72"/>
        <v>414.7</v>
      </c>
      <c r="L61" s="1071">
        <f t="shared" ref="L61:M61" si="73">SUM(L15*$D$45)</f>
        <v>501.79999999999995</v>
      </c>
      <c r="M61" s="1071">
        <f t="shared" si="73"/>
        <v>525.19999999999993</v>
      </c>
      <c r="N61" s="1071"/>
      <c r="O61" s="1071">
        <f t="shared" ref="O61:Q61" si="74">SUM(O15*$D$45)</f>
        <v>387.4</v>
      </c>
      <c r="P61" s="1071">
        <f t="shared" si="74"/>
        <v>448.06666666666666</v>
      </c>
      <c r="Q61" s="1071">
        <f t="shared" si="74"/>
        <v>515.66666666666663</v>
      </c>
      <c r="R61" s="1071"/>
      <c r="S61" s="1071">
        <f t="shared" ref="S61:T61" si="75">SUM(S15*$D$45)</f>
        <v>454.99999999999994</v>
      </c>
      <c r="T61" s="1071">
        <f t="shared" si="75"/>
        <v>550.76666666666665</v>
      </c>
      <c r="U61" s="1065"/>
      <c r="V61" s="1106">
        <f t="shared" si="29"/>
        <v>217.75</v>
      </c>
      <c r="W61" s="1106">
        <f t="shared" si="29"/>
        <v>254.79999999999995</v>
      </c>
      <c r="X61" s="1106">
        <f t="shared" si="30"/>
        <v>369.63333333333327</v>
      </c>
      <c r="Y61" s="1106">
        <f t="shared" si="30"/>
        <v>414.7</v>
      </c>
      <c r="AB61" s="1076">
        <f t="shared" si="31"/>
        <v>217.75</v>
      </c>
      <c r="AC61" s="1076">
        <f t="shared" si="32"/>
        <v>118.62499999999997</v>
      </c>
      <c r="AD61" s="1076">
        <f t="shared" si="33"/>
        <v>110.68055555555554</v>
      </c>
      <c r="AE61" s="1070">
        <v>0</v>
      </c>
      <c r="AF61" s="1070">
        <f t="shared" ref="AF61" si="76">SUM(AC61+AJ61*$AF$49)</f>
        <v>217.75</v>
      </c>
      <c r="AG61" s="1070">
        <f t="shared" ref="AG61" si="77">SUM(AJ61+AC61*$AG$49)</f>
        <v>336.375</v>
      </c>
      <c r="AH61" s="1070">
        <f t="shared" ref="AH61" si="78">SUM(AJ61+AC61*$AH$49)</f>
        <v>454.99999999999989</v>
      </c>
      <c r="AI61" s="1070">
        <f t="shared" ref="AI61" si="79">SUM(AJ61+AC61*$AI$49)</f>
        <v>573.62499999999989</v>
      </c>
      <c r="AJ61" s="1076">
        <f t="shared" si="58"/>
        <v>99.125000000000028</v>
      </c>
      <c r="AK61" s="1069"/>
      <c r="AL61" s="1090">
        <f t="shared" ref="AL61" si="80">X61</f>
        <v>369.63333333333327</v>
      </c>
      <c r="AM61" s="1090">
        <f t="shared" ref="AM61" si="81">AVERAGE((Y61-I61),(S61-J61))</f>
        <v>42.683333333333337</v>
      </c>
      <c r="AN61" s="1090">
        <f t="shared" ref="AN61" si="82">MAX(0,(AVERAGE(L61-I61,(M61-L61),(O61-J61),(P61-O61),(Q61-P61),(T61-S61))))</f>
        <v>58.716666666666669</v>
      </c>
      <c r="AO61" s="1070">
        <v>0</v>
      </c>
      <c r="AP61" s="1070">
        <f t="shared" ref="AP61" si="83">SUM(AT61+AM61*$AP$49)</f>
        <v>369.63333333333327</v>
      </c>
      <c r="AQ61" s="1070">
        <f t="shared" ref="AQ61" si="84">SUM(AT61+AM61*$AQ$49)</f>
        <v>412.31666666666661</v>
      </c>
      <c r="AR61" s="1070">
        <f t="shared" ref="AR61" si="85">SUM(AT61+AM61*$AR$49)</f>
        <v>454.99999999999994</v>
      </c>
      <c r="AS61" s="1070">
        <f t="shared" ref="AS61" si="86">SUM(AT61+AM61*$AS$49)</f>
        <v>497.68333333333328</v>
      </c>
      <c r="AT61" s="1091">
        <f>SUM(AL61-AM61)</f>
        <v>326.94999999999993</v>
      </c>
    </row>
    <row r="62" spans="1:46">
      <c r="C62" s="1068"/>
      <c r="D62" s="1068"/>
      <c r="E62" s="1068"/>
      <c r="F62" s="1068"/>
      <c r="G62" s="1068"/>
      <c r="I62" s="1070"/>
      <c r="J62" s="1070"/>
      <c r="L62" s="1071"/>
      <c r="M62" s="1071"/>
      <c r="N62" s="1071"/>
      <c r="O62" s="1071"/>
      <c r="P62" s="1071"/>
      <c r="Q62" s="1071"/>
      <c r="R62" s="1071"/>
      <c r="S62" s="1071"/>
      <c r="T62" s="1071"/>
      <c r="U62" s="1065"/>
      <c r="V62" s="1106"/>
      <c r="W62" s="1106"/>
      <c r="X62" s="1106"/>
      <c r="Y62" s="1106"/>
      <c r="AB62" s="1076"/>
      <c r="AC62" s="1076"/>
      <c r="AD62" s="1076"/>
      <c r="AE62" s="1108">
        <v>0</v>
      </c>
      <c r="AF62" s="1108">
        <f>SUM(AD61)*$AF$51</f>
        <v>110.68055555555554</v>
      </c>
      <c r="AG62" s="1108">
        <f>SUM(AD61)*$AG$51</f>
        <v>221.36111111111109</v>
      </c>
      <c r="AH62" s="1108">
        <f>SUM(AD61)*$AH$51</f>
        <v>332.04166666666663</v>
      </c>
      <c r="AI62" s="1108">
        <f>SUM(AD61)*$AI$51</f>
        <v>442.72222222222217</v>
      </c>
      <c r="AJ62" s="1076"/>
      <c r="AK62" s="1069"/>
      <c r="AL62" s="1090"/>
      <c r="AM62" s="1090"/>
      <c r="AN62" s="1090"/>
      <c r="AO62" s="1114">
        <v>0</v>
      </c>
      <c r="AP62" s="1114">
        <f t="shared" ref="AP62" si="87">SUM(AN61*$AP$51)</f>
        <v>58.716666666666669</v>
      </c>
      <c r="AQ62" s="1114">
        <f t="shared" ref="AQ62" si="88">SUM(AN61*$AQ$51)</f>
        <v>117.43333333333334</v>
      </c>
      <c r="AR62" s="1114">
        <f t="shared" ref="AR62" si="89">SUM(AN61*$AR$51)</f>
        <v>176.15</v>
      </c>
      <c r="AS62" s="1114">
        <f t="shared" ref="AS62" si="90">SUM(AN61*$AS$51)</f>
        <v>234.86666666666667</v>
      </c>
      <c r="AT62" s="1091"/>
    </row>
    <row r="63" spans="1:46">
      <c r="A63" s="1039" t="s">
        <v>952</v>
      </c>
      <c r="C63" s="1068">
        <f t="shared" ref="C63:D63" si="91">SUM(C17*$D$45)</f>
        <v>58.066666666666663</v>
      </c>
      <c r="D63" s="1068">
        <f t="shared" si="91"/>
        <v>163.79999999999998</v>
      </c>
      <c r="E63" s="1068"/>
      <c r="F63" s="1068">
        <f t="shared" ref="F63:G63" si="92">SUM(F17*$D$45)</f>
        <v>98.36666666666666</v>
      </c>
      <c r="G63" s="1068">
        <f t="shared" si="92"/>
        <v>162.06666666666666</v>
      </c>
      <c r="I63" s="1070">
        <f t="shared" ref="I63:J63" si="93">SUM(I17*$D$45)</f>
        <v>105.3</v>
      </c>
      <c r="J63" s="1070">
        <f t="shared" si="93"/>
        <v>175.93333333333334</v>
      </c>
      <c r="L63" s="1071">
        <f t="shared" ref="L63:M63" si="94">SUM(L17*$D$45)</f>
        <v>105.73333333333332</v>
      </c>
      <c r="M63" s="1071">
        <f t="shared" si="94"/>
        <v>63.699999999999996</v>
      </c>
      <c r="N63" s="1071"/>
      <c r="O63" s="1071">
        <f t="shared" ref="O63:Q63" si="95">SUM(O17*$D$45)</f>
        <v>172.46666666666664</v>
      </c>
      <c r="P63" s="1071">
        <f t="shared" si="95"/>
        <v>174.6333333333333</v>
      </c>
      <c r="Q63" s="1071">
        <f t="shared" si="95"/>
        <v>143.86666666666667</v>
      </c>
      <c r="R63" s="1071"/>
      <c r="S63" s="1071">
        <f t="shared" ref="S63:T63" si="96">SUM(S17*$D$45)</f>
        <v>220.1333333333333</v>
      </c>
      <c r="T63" s="1071">
        <f t="shared" si="96"/>
        <v>183.73333333333332</v>
      </c>
      <c r="U63" s="1065"/>
      <c r="V63" s="1106">
        <f t="shared" si="29"/>
        <v>78.216666666666669</v>
      </c>
      <c r="W63" s="1106">
        <f t="shared" si="29"/>
        <v>162.93333333333334</v>
      </c>
      <c r="X63" s="1106">
        <f t="shared" si="30"/>
        <v>105.3</v>
      </c>
      <c r="Y63" s="1106">
        <f t="shared" si="30"/>
        <v>175.93333333333334</v>
      </c>
      <c r="AB63" s="1076">
        <f t="shared" si="31"/>
        <v>78.216666666666669</v>
      </c>
      <c r="AC63" s="1076">
        <f t="shared" si="32"/>
        <v>70.958333333333314</v>
      </c>
      <c r="AD63" s="1076">
        <f t="shared" si="33"/>
        <v>0</v>
      </c>
      <c r="AE63" s="1070">
        <v>0</v>
      </c>
      <c r="AF63" s="1070">
        <f t="shared" ref="AF63" si="97">SUM(AC63+AJ63*$AF$49)</f>
        <v>78.216666666666669</v>
      </c>
      <c r="AG63" s="1070">
        <f t="shared" ref="AG63" si="98">SUM(AJ63+AC63*$AG$49)</f>
        <v>149.17499999999998</v>
      </c>
      <c r="AH63" s="1070">
        <f t="shared" ref="AH63" si="99">SUM(AJ63+AC63*$AH$49)</f>
        <v>220.1333333333333</v>
      </c>
      <c r="AI63" s="1070">
        <f t="shared" ref="AI63" si="100">SUM(AJ63+AC63*$AI$49)</f>
        <v>291.09166666666658</v>
      </c>
      <c r="AJ63" s="1076">
        <f t="shared" si="58"/>
        <v>7.2583333333333542</v>
      </c>
      <c r="AK63" s="1069"/>
      <c r="AL63" s="1090">
        <f t="shared" ref="AL63" si="101">X63</f>
        <v>105.3</v>
      </c>
      <c r="AM63" s="1090">
        <f t="shared" ref="AM63" si="102">AVERAGE((Y63-I63),(S63-J63))</f>
        <v>57.41666666666665</v>
      </c>
      <c r="AN63" s="1090">
        <f>MAX(0,(AVERAGE(L63-I63,(M63-L63),(O63-J63),(P63-O63),(Q63-P63),(T63-S63))))</f>
        <v>0</v>
      </c>
      <c r="AO63" s="1070">
        <v>0</v>
      </c>
      <c r="AP63" s="1070">
        <f t="shared" ref="AP63" si="103">SUM(AT63+AM63*$AP$49)</f>
        <v>105.3</v>
      </c>
      <c r="AQ63" s="1070">
        <f t="shared" ref="AQ63" si="104">SUM(AT63+AM63*$AQ$49)</f>
        <v>162.71666666666664</v>
      </c>
      <c r="AR63" s="1070">
        <f t="shared" ref="AR63" si="105">SUM(AT63+AM63*$AR$49)</f>
        <v>220.1333333333333</v>
      </c>
      <c r="AS63" s="1070">
        <f t="shared" ref="AS63" si="106">SUM(AT63+AM63*$AS$49)</f>
        <v>277.54999999999995</v>
      </c>
      <c r="AT63" s="1091">
        <f t="shared" si="45"/>
        <v>47.883333333333347</v>
      </c>
    </row>
    <row r="64" spans="1:46">
      <c r="C64" s="1068"/>
      <c r="D64" s="1068"/>
      <c r="E64" s="1068"/>
      <c r="F64" s="1068"/>
      <c r="G64" s="1068"/>
      <c r="I64" s="1070"/>
      <c r="J64" s="1070"/>
      <c r="L64" s="1071"/>
      <c r="M64" s="1071"/>
      <c r="N64" s="1071"/>
      <c r="O64" s="1071"/>
      <c r="P64" s="1071"/>
      <c r="Q64" s="1071"/>
      <c r="R64" s="1071"/>
      <c r="S64" s="1071"/>
      <c r="T64" s="1071"/>
      <c r="U64" s="1065"/>
      <c r="V64" s="1106"/>
      <c r="W64" s="1106"/>
      <c r="X64" s="1106"/>
      <c r="Y64" s="1106"/>
      <c r="AB64" s="1076"/>
      <c r="AC64" s="1076"/>
      <c r="AD64" s="1076"/>
      <c r="AE64" s="1108">
        <v>0</v>
      </c>
      <c r="AF64" s="1108">
        <f>SUM(AD63)*$AF$51</f>
        <v>0</v>
      </c>
      <c r="AG64" s="1108">
        <f>SUM(AD63)*$AG$51</f>
        <v>0</v>
      </c>
      <c r="AH64" s="1108">
        <f>SUM(AD63)*$AH$51</f>
        <v>0</v>
      </c>
      <c r="AI64" s="1108">
        <f>SUM(AD63)*$AI$51</f>
        <v>0</v>
      </c>
      <c r="AJ64" s="1076"/>
      <c r="AK64" s="1069"/>
      <c r="AL64" s="1090"/>
      <c r="AM64" s="1090"/>
      <c r="AN64" s="1090"/>
      <c r="AO64" s="1114">
        <v>0</v>
      </c>
      <c r="AP64" s="1114">
        <f t="shared" ref="AP64" si="107">SUM(AN63*$AP$51)</f>
        <v>0</v>
      </c>
      <c r="AQ64" s="1114">
        <f t="shared" ref="AQ64" si="108">SUM(AN63*$AQ$51)</f>
        <v>0</v>
      </c>
      <c r="AR64" s="1114">
        <f t="shared" ref="AR64" si="109">SUM(AN63*$AR$51)</f>
        <v>0</v>
      </c>
      <c r="AS64" s="1114">
        <f t="shared" ref="AS64" si="110">SUM(AN63*$AS$51)</f>
        <v>0</v>
      </c>
      <c r="AT64" s="1091"/>
    </row>
    <row r="65" spans="1:46">
      <c r="A65" s="1039" t="s">
        <v>953</v>
      </c>
      <c r="C65" s="1068">
        <f t="shared" ref="C65:D65" si="111">SUM(C19*$D$45)</f>
        <v>28.599999999999998</v>
      </c>
      <c r="D65" s="1068">
        <f t="shared" si="111"/>
        <v>45.5</v>
      </c>
      <c r="E65" s="1068"/>
      <c r="F65" s="1068">
        <f t="shared" ref="F65:G65" si="112">SUM(F19*$D$45)</f>
        <v>31.2</v>
      </c>
      <c r="G65" s="1068">
        <f t="shared" si="112"/>
        <v>73.666666666666657</v>
      </c>
      <c r="I65" s="1070">
        <f t="shared" ref="I65:J65" si="113">SUM(I19*$D$45)</f>
        <v>19.066666666666666</v>
      </c>
      <c r="J65" s="1070">
        <f t="shared" si="113"/>
        <v>39</v>
      </c>
      <c r="L65" s="1071">
        <f t="shared" ref="L65:M65" si="114">SUM(L19*$D$45)</f>
        <v>19.5</v>
      </c>
      <c r="M65" s="1071">
        <f t="shared" si="114"/>
        <v>18.2</v>
      </c>
      <c r="N65" s="1071"/>
      <c r="O65" s="1071">
        <f t="shared" ref="O65:Q65" si="115">SUM(O19*$D$45)</f>
        <v>34.666666666666664</v>
      </c>
      <c r="P65" s="1071">
        <f t="shared" si="115"/>
        <v>31.633333333333329</v>
      </c>
      <c r="Q65" s="1071">
        <f t="shared" si="115"/>
        <v>34.233333333333334</v>
      </c>
      <c r="R65" s="1071"/>
      <c r="S65" s="1071">
        <f t="shared" ref="S65:T65" si="116">SUM(S19*$D$45)</f>
        <v>73.23333333333332</v>
      </c>
      <c r="T65" s="1071">
        <f t="shared" si="116"/>
        <v>44.199999999999996</v>
      </c>
      <c r="U65" s="1065"/>
      <c r="V65" s="1106">
        <f t="shared" si="29"/>
        <v>29.9</v>
      </c>
      <c r="W65" s="1106">
        <f t="shared" si="29"/>
        <v>59.583333333333329</v>
      </c>
      <c r="X65" s="1106">
        <f t="shared" si="30"/>
        <v>19.066666666666666</v>
      </c>
      <c r="Y65" s="1106">
        <f t="shared" si="30"/>
        <v>39</v>
      </c>
      <c r="AB65" s="1076">
        <f t="shared" si="31"/>
        <v>29.9</v>
      </c>
      <c r="AC65" s="1076">
        <f t="shared" si="32"/>
        <v>21.666666666666661</v>
      </c>
      <c r="AD65" s="1076">
        <f t="shared" si="33"/>
        <v>0</v>
      </c>
      <c r="AE65" s="1070">
        <v>0</v>
      </c>
      <c r="AF65" s="1070">
        <f t="shared" ref="AF65" si="117">SUM(AC65+AJ65*$AF$49)</f>
        <v>29.9</v>
      </c>
      <c r="AG65" s="1070">
        <f t="shared" ref="AG65" si="118">SUM(AJ65+AC65*$AG$49)</f>
        <v>51.566666666666663</v>
      </c>
      <c r="AH65" s="1070">
        <f t="shared" ref="AH65" si="119">SUM(AJ65+AC65*$AH$49)</f>
        <v>73.23333333333332</v>
      </c>
      <c r="AI65" s="1070">
        <f t="shared" ref="AI65" si="120">SUM(AJ65+AC65*$AI$49)</f>
        <v>94.899999999999977</v>
      </c>
      <c r="AJ65" s="1076">
        <f t="shared" si="58"/>
        <v>8.2333333333333378</v>
      </c>
      <c r="AK65" s="1069"/>
      <c r="AL65" s="1090">
        <f t="shared" ref="AL65" si="121">X65</f>
        <v>19.066666666666666</v>
      </c>
      <c r="AM65" s="1090">
        <f t="shared" ref="AM65" si="122">AVERAGE((Y65-I65),(S65-J65))</f>
        <v>27.083333333333329</v>
      </c>
      <c r="AN65" s="1090">
        <f t="shared" ref="AN65" si="123">MAX(0,(AVERAGE(L65-I65,(M65-L65),(O65-J65),(P65-O65),(Q65-P65),(T65-S65))))</f>
        <v>0</v>
      </c>
      <c r="AO65" s="1070">
        <v>0</v>
      </c>
      <c r="AP65" s="1070">
        <f t="shared" ref="AP65" si="124">SUM(AT65+AM65*$AP$49)</f>
        <v>19.066666666666666</v>
      </c>
      <c r="AQ65" s="1070">
        <f t="shared" ref="AQ65" si="125">SUM(AT65+AM65*$AQ$49)</f>
        <v>46.149999999999991</v>
      </c>
      <c r="AR65" s="1070">
        <f t="shared" ref="AR65" si="126">SUM(AT65+AM65*$AR$49)</f>
        <v>73.23333333333332</v>
      </c>
      <c r="AS65" s="1070">
        <f t="shared" ref="AS65" si="127">SUM(AT65+AM65*$AS$49)</f>
        <v>100.31666666666665</v>
      </c>
      <c r="AT65" s="1091">
        <f t="shared" si="45"/>
        <v>-8.0166666666666622</v>
      </c>
    </row>
    <row r="66" spans="1:46">
      <c r="C66" s="1068"/>
      <c r="D66" s="1068"/>
      <c r="E66" s="1068"/>
      <c r="F66" s="1068"/>
      <c r="G66" s="1068"/>
      <c r="I66" s="1070"/>
      <c r="J66" s="1070"/>
      <c r="L66" s="1071"/>
      <c r="M66" s="1071"/>
      <c r="N66" s="1071"/>
      <c r="O66" s="1071"/>
      <c r="P66" s="1071"/>
      <c r="Q66" s="1071"/>
      <c r="R66" s="1071"/>
      <c r="S66" s="1071"/>
      <c r="T66" s="1071"/>
      <c r="U66" s="1065"/>
      <c r="V66" s="1106"/>
      <c r="W66" s="1106"/>
      <c r="X66" s="1106"/>
      <c r="Y66" s="1106"/>
      <c r="AB66" s="1076"/>
      <c r="AC66" s="1076"/>
      <c r="AD66" s="1076"/>
      <c r="AE66" s="1108">
        <v>0</v>
      </c>
      <c r="AF66" s="1108">
        <f>SUM(AD65)*$AF$51</f>
        <v>0</v>
      </c>
      <c r="AG66" s="1108">
        <f>SUM(AD65)*$AG$51</f>
        <v>0</v>
      </c>
      <c r="AH66" s="1108">
        <f>SUM(AD65)*$AH$51</f>
        <v>0</v>
      </c>
      <c r="AI66" s="1108">
        <f>SUM(AD65)*$AI$51</f>
        <v>0</v>
      </c>
      <c r="AJ66" s="1076"/>
      <c r="AK66" s="1069"/>
      <c r="AL66" s="1090"/>
      <c r="AM66" s="1090"/>
      <c r="AN66" s="1090"/>
      <c r="AO66" s="1114">
        <v>0</v>
      </c>
      <c r="AP66" s="1114">
        <f t="shared" ref="AP66" si="128">SUM(AN65*$AP$51)</f>
        <v>0</v>
      </c>
      <c r="AQ66" s="1114">
        <f t="shared" ref="AQ66" si="129">SUM(AN65*$AQ$51)</f>
        <v>0</v>
      </c>
      <c r="AR66" s="1114">
        <f t="shared" ref="AR66" si="130">SUM(AN65*$AR$51)</f>
        <v>0</v>
      </c>
      <c r="AS66" s="1114">
        <f t="shared" ref="AS66" si="131">SUM(AN65*$AS$51)</f>
        <v>0</v>
      </c>
      <c r="AT66" s="1091"/>
    </row>
    <row r="67" spans="1:46">
      <c r="A67" s="1039" t="s">
        <v>954</v>
      </c>
      <c r="C67" s="1068">
        <f t="shared" ref="C67:D67" si="132">SUM(C21*$D$45)</f>
        <v>51.566666666666663</v>
      </c>
      <c r="D67" s="1068">
        <f t="shared" si="132"/>
        <v>180.7</v>
      </c>
      <c r="E67" s="1068"/>
      <c r="F67" s="1068">
        <f t="shared" ref="F67:G67" si="133">SUM(F21*$D$45)</f>
        <v>107.89999999999999</v>
      </c>
      <c r="G67" s="1068">
        <f t="shared" si="133"/>
        <v>268.66666666666663</v>
      </c>
      <c r="I67" s="1070">
        <f t="shared" ref="I67:J67" si="134">SUM(I21*$D$45)</f>
        <v>185.46666666666664</v>
      </c>
      <c r="J67" s="1070">
        <f t="shared" si="134"/>
        <v>386.96666666666664</v>
      </c>
      <c r="L67" s="1071">
        <f t="shared" ref="L67:M67" si="135">SUM(L21*$D$45)</f>
        <v>139.53333333333333</v>
      </c>
      <c r="M67" s="1071">
        <f t="shared" si="135"/>
        <v>206.7</v>
      </c>
      <c r="N67" s="1071"/>
      <c r="O67" s="1071">
        <f t="shared" ref="O67:Q67" si="136">SUM(O21*$D$45)</f>
        <v>472.33333333333331</v>
      </c>
      <c r="P67" s="1071">
        <f t="shared" si="136"/>
        <v>464.96666666666664</v>
      </c>
      <c r="Q67" s="1071">
        <f t="shared" si="136"/>
        <v>382.2</v>
      </c>
      <c r="R67" s="1071"/>
      <c r="S67" s="1071">
        <f t="shared" ref="S67:T67" si="137">SUM(S21*$D$45)</f>
        <v>544.69999999999993</v>
      </c>
      <c r="T67" s="1071">
        <f t="shared" si="137"/>
        <v>490.09999999999997</v>
      </c>
      <c r="U67" s="1065"/>
      <c r="V67" s="1106">
        <f t="shared" si="29"/>
        <v>79.73333333333332</v>
      </c>
      <c r="W67" s="1106">
        <f t="shared" si="29"/>
        <v>224.68333333333331</v>
      </c>
      <c r="X67" s="1106">
        <f t="shared" si="30"/>
        <v>185.46666666666664</v>
      </c>
      <c r="Y67" s="1106">
        <f t="shared" si="30"/>
        <v>386.96666666666664</v>
      </c>
      <c r="AB67" s="1076">
        <f t="shared" si="31"/>
        <v>79.73333333333332</v>
      </c>
      <c r="AC67" s="1076">
        <f t="shared" si="32"/>
        <v>232.48333333333332</v>
      </c>
      <c r="AD67" s="1076">
        <f t="shared" si="33"/>
        <v>38.313888888888897</v>
      </c>
      <c r="AE67" s="1070">
        <v>0</v>
      </c>
      <c r="AF67" s="1070">
        <f t="shared" ref="AF67" si="138">SUM(AC67+AJ67*$AF$49)</f>
        <v>79.73333333333332</v>
      </c>
      <c r="AG67" s="1070">
        <f t="shared" ref="AG67" si="139">SUM(AJ67+AC67*$AG$49)</f>
        <v>312.21666666666664</v>
      </c>
      <c r="AH67" s="1070">
        <f>SUM(AJ67+AC67*$AH$49)</f>
        <v>544.69999999999993</v>
      </c>
      <c r="AI67" s="1070">
        <f t="shared" ref="AI67" si="140">SUM(AJ67+AC67*$AI$49)</f>
        <v>777.18333333333328</v>
      </c>
      <c r="AJ67" s="1076">
        <f t="shared" si="58"/>
        <v>-152.75</v>
      </c>
      <c r="AK67" s="1069"/>
      <c r="AL67" s="1090">
        <f t="shared" ref="AL67" si="141">X67</f>
        <v>185.46666666666664</v>
      </c>
      <c r="AM67" s="1090">
        <f t="shared" ref="AM67" si="142">AVERAGE((Y67-I67),(S67-J67))</f>
        <v>179.61666666666665</v>
      </c>
      <c r="AN67" s="1090">
        <f t="shared" ref="AN67" si="143">MAX(0,(AVERAGE(L67-I67,(M67-L67),(O67-J67),(P67-O67),(Q67-P67),(T67-S67))))</f>
        <v>0</v>
      </c>
      <c r="AO67" s="1070">
        <v>0</v>
      </c>
      <c r="AP67" s="1070">
        <f t="shared" ref="AP67" si="144">SUM(AT67+AM67*$AP$49)</f>
        <v>185.46666666666664</v>
      </c>
      <c r="AQ67" s="1070">
        <f t="shared" ref="AQ67" si="145">SUM(AT67+AM67*$AQ$49)</f>
        <v>365.08333333333326</v>
      </c>
      <c r="AR67" s="1070">
        <f t="shared" ref="AR67" si="146">SUM(AT67+AM67*$AR$49)</f>
        <v>544.69999999999993</v>
      </c>
      <c r="AS67" s="1070">
        <f t="shared" ref="AS67" si="147">SUM(AT67+AM67*$AS$49)</f>
        <v>724.31666666666661</v>
      </c>
      <c r="AT67" s="1091">
        <f t="shared" si="45"/>
        <v>5.8499999999999943</v>
      </c>
    </row>
    <row r="68" spans="1:46">
      <c r="C68" s="1068"/>
      <c r="D68" s="1068"/>
      <c r="E68" s="1068"/>
      <c r="F68" s="1068"/>
      <c r="G68" s="1068"/>
      <c r="I68" s="1070"/>
      <c r="J68" s="1070"/>
      <c r="L68" s="1071"/>
      <c r="M68" s="1071"/>
      <c r="N68" s="1071"/>
      <c r="O68" s="1071"/>
      <c r="P68" s="1071"/>
      <c r="Q68" s="1071"/>
      <c r="R68" s="1071"/>
      <c r="S68" s="1071"/>
      <c r="T68" s="1071"/>
      <c r="U68" s="1065"/>
      <c r="V68" s="1106"/>
      <c r="W68" s="1106"/>
      <c r="X68" s="1106"/>
      <c r="Y68" s="1106"/>
      <c r="AB68" s="1076"/>
      <c r="AC68" s="1076"/>
      <c r="AD68" s="1076"/>
      <c r="AE68" s="1108">
        <v>0</v>
      </c>
      <c r="AF68" s="1108">
        <f>SUM(AD67)*$AF$51</f>
        <v>38.313888888888897</v>
      </c>
      <c r="AG68" s="1108">
        <f>SUM(AD67)*$AG$51</f>
        <v>76.627777777777794</v>
      </c>
      <c r="AH68" s="1108">
        <f>SUM(AD67)*$AH$51</f>
        <v>114.94166666666669</v>
      </c>
      <c r="AI68" s="1108">
        <f>SUM(AD67)*$AI$51</f>
        <v>153.25555555555559</v>
      </c>
      <c r="AJ68" s="1076"/>
      <c r="AK68" s="1069"/>
      <c r="AL68" s="1090"/>
      <c r="AM68" s="1090"/>
      <c r="AN68" s="1090"/>
      <c r="AO68" s="1114">
        <v>0</v>
      </c>
      <c r="AP68" s="1114">
        <f t="shared" ref="AP68" si="148">SUM(AN67*$AP$51)</f>
        <v>0</v>
      </c>
      <c r="AQ68" s="1114">
        <f t="shared" ref="AQ68" si="149">SUM(AN67*$AQ$51)</f>
        <v>0</v>
      </c>
      <c r="AR68" s="1114">
        <f t="shared" ref="AR68" si="150">SUM(AN67*$AR$51)</f>
        <v>0</v>
      </c>
      <c r="AS68" s="1114">
        <f t="shared" ref="AS68" si="151">SUM(AN67*$AS$51)</f>
        <v>0</v>
      </c>
      <c r="AT68" s="1091"/>
    </row>
    <row r="69" spans="1:46">
      <c r="A69" s="1039" t="s">
        <v>955</v>
      </c>
      <c r="C69" s="1068">
        <f t="shared" ref="C69:D69" si="152">SUM(C23*$D$45)</f>
        <v>47.233333333333334</v>
      </c>
      <c r="D69" s="1068">
        <f t="shared" si="152"/>
        <v>60.666666666666664</v>
      </c>
      <c r="E69" s="1068"/>
      <c r="F69" s="1068">
        <f t="shared" ref="F69:G69" si="153">SUM(F23*$D$45)</f>
        <v>54.599999999999994</v>
      </c>
      <c r="G69" s="1068">
        <f t="shared" si="153"/>
        <v>88.399999999999991</v>
      </c>
      <c r="I69" s="1070">
        <f t="shared" ref="I69:J69" si="154">SUM(I23*$D$45)</f>
        <v>63.699999999999996</v>
      </c>
      <c r="J69" s="1070">
        <f t="shared" si="154"/>
        <v>97.066666666666649</v>
      </c>
      <c r="L69" s="1071">
        <f t="shared" ref="L69:M69" si="155">SUM(L23*$D$45)</f>
        <v>70.199999999999989</v>
      </c>
      <c r="M69" s="1071">
        <f t="shared" si="155"/>
        <v>81.033333333333331</v>
      </c>
      <c r="N69" s="1071"/>
      <c r="O69" s="1071">
        <f t="shared" ref="O69:Q69" si="156">SUM(O23*$D$45)</f>
        <v>110.93333333333334</v>
      </c>
      <c r="P69" s="1071">
        <f t="shared" si="156"/>
        <v>113.96666666666667</v>
      </c>
      <c r="Q69" s="1071">
        <f t="shared" si="156"/>
        <v>136.93333333333334</v>
      </c>
      <c r="R69" s="1071"/>
      <c r="S69" s="1071">
        <f t="shared" ref="S69:T69" si="157">SUM(S23*$D$45)</f>
        <v>133.46666666666667</v>
      </c>
      <c r="T69" s="1071">
        <f t="shared" si="157"/>
        <v>136.5</v>
      </c>
      <c r="U69" s="1065"/>
      <c r="V69" s="1106">
        <f t="shared" si="29"/>
        <v>50.916666666666664</v>
      </c>
      <c r="W69" s="1106">
        <f t="shared" si="29"/>
        <v>74.533333333333331</v>
      </c>
      <c r="X69" s="1106">
        <f t="shared" si="30"/>
        <v>63.699999999999996</v>
      </c>
      <c r="Y69" s="1106">
        <f t="shared" si="30"/>
        <v>97.066666666666649</v>
      </c>
      <c r="AB69" s="1076">
        <f t="shared" si="31"/>
        <v>50.916666666666664</v>
      </c>
      <c r="AC69" s="1076">
        <f t="shared" si="32"/>
        <v>41.275000000000006</v>
      </c>
      <c r="AD69" s="1076">
        <f t="shared" si="33"/>
        <v>15.925000000000002</v>
      </c>
      <c r="AE69" s="1070">
        <v>0</v>
      </c>
      <c r="AF69" s="1070">
        <f t="shared" ref="AF69" si="158">SUM(AC69+AJ69*$AF$49)</f>
        <v>50.916666666666664</v>
      </c>
      <c r="AG69" s="1070">
        <f t="shared" ref="AG69" si="159">SUM(AJ69+AC69*$AG$49)</f>
        <v>92.191666666666663</v>
      </c>
      <c r="AH69" s="1070">
        <f t="shared" ref="AH69" si="160">SUM(AJ69+AC69*$AH$49)</f>
        <v>133.46666666666667</v>
      </c>
      <c r="AI69" s="1070">
        <f t="shared" ref="AI69" si="161">SUM(AJ69+AC69*$AI$49)</f>
        <v>174.74166666666667</v>
      </c>
      <c r="AJ69" s="1076">
        <f t="shared" si="58"/>
        <v>9.6416666666666586</v>
      </c>
      <c r="AK69" s="1069"/>
      <c r="AL69" s="1090">
        <f t="shared" ref="AL69" si="162">X69</f>
        <v>63.699999999999996</v>
      </c>
      <c r="AM69" s="1090">
        <f t="shared" ref="AM69" si="163">AVERAGE((Y69-I69),(S69-J69))</f>
        <v>34.88333333333334</v>
      </c>
      <c r="AN69" s="1090">
        <f t="shared" ref="AN69" si="164">MAX(0,(AVERAGE(L69-I69,(M69-L69),(O69-J69),(P69-O69),(Q69-P69),(T69-S69))))</f>
        <v>10.038888888888893</v>
      </c>
      <c r="AO69" s="1070">
        <v>0</v>
      </c>
      <c r="AP69" s="1070">
        <f t="shared" ref="AP69" si="165">SUM(AT69+AM69*$AP$49)</f>
        <v>63.699999999999996</v>
      </c>
      <c r="AQ69" s="1070">
        <f t="shared" ref="AQ69" si="166">SUM(AT69+AM69*$AQ$49)</f>
        <v>98.583333333333343</v>
      </c>
      <c r="AR69" s="1070">
        <f t="shared" ref="AR69" si="167">SUM(AT69+AM69*$AR$49)</f>
        <v>133.46666666666667</v>
      </c>
      <c r="AS69" s="1070">
        <f t="shared" ref="AS69" si="168">SUM(AT69+AM69*$AS$49)</f>
        <v>168.35000000000002</v>
      </c>
      <c r="AT69" s="1091">
        <f t="shared" si="45"/>
        <v>28.816666666666656</v>
      </c>
    </row>
    <row r="70" spans="1:46">
      <c r="C70" s="1068"/>
      <c r="D70" s="1068"/>
      <c r="E70" s="1068"/>
      <c r="F70" s="1068"/>
      <c r="G70" s="1068"/>
      <c r="I70" s="1070"/>
      <c r="J70" s="1070"/>
      <c r="L70" s="1071"/>
      <c r="M70" s="1071"/>
      <c r="N70" s="1071"/>
      <c r="O70" s="1071"/>
      <c r="P70" s="1071"/>
      <c r="Q70" s="1071"/>
      <c r="R70" s="1071"/>
      <c r="S70" s="1071"/>
      <c r="T70" s="1071"/>
      <c r="U70" s="1065"/>
      <c r="V70" s="1106"/>
      <c r="W70" s="1106"/>
      <c r="X70" s="1106"/>
      <c r="Y70" s="1106"/>
      <c r="AB70" s="1076"/>
      <c r="AC70" s="1076"/>
      <c r="AD70" s="1076"/>
      <c r="AE70" s="1108">
        <v>0</v>
      </c>
      <c r="AF70" s="1108">
        <f>SUM(AD69)*$AF$51</f>
        <v>15.925000000000002</v>
      </c>
      <c r="AG70" s="1108">
        <f>SUM(AD69)*$AG$51</f>
        <v>31.850000000000005</v>
      </c>
      <c r="AH70" s="1108">
        <f>SUM(AD69)*$AH$51</f>
        <v>47.775000000000006</v>
      </c>
      <c r="AI70" s="1108">
        <f>SUM(AD69)*$AI$51</f>
        <v>63.70000000000001</v>
      </c>
      <c r="AJ70" s="1076"/>
      <c r="AK70" s="1069"/>
      <c r="AL70" s="1090"/>
      <c r="AM70" s="1090"/>
      <c r="AN70" s="1090"/>
      <c r="AO70" s="1114">
        <v>0</v>
      </c>
      <c r="AP70" s="1114">
        <f t="shared" ref="AP70" si="169">SUM(AN69*$AP$51)</f>
        <v>10.038888888888893</v>
      </c>
      <c r="AQ70" s="1114">
        <f t="shared" ref="AQ70" si="170">SUM(AN69*$AQ$51)</f>
        <v>20.077777777777786</v>
      </c>
      <c r="AR70" s="1114">
        <f t="shared" ref="AR70" si="171">SUM(AN69*$AR$51)</f>
        <v>30.116666666666681</v>
      </c>
      <c r="AS70" s="1114">
        <f t="shared" ref="AS70" si="172">SUM(AN69*$AS$51)</f>
        <v>40.155555555555573</v>
      </c>
      <c r="AT70" s="1091"/>
    </row>
    <row r="71" spans="1:46">
      <c r="A71" s="1039" t="s">
        <v>956</v>
      </c>
      <c r="C71" s="1068">
        <f t="shared" ref="C71:D71" si="173">SUM(C25*$D$45)</f>
        <v>76.699999999999989</v>
      </c>
      <c r="D71" s="1068">
        <f t="shared" si="173"/>
        <v>185.46666666666664</v>
      </c>
      <c r="E71" s="1068"/>
      <c r="F71" s="1068">
        <f t="shared" ref="F71:G71" si="174">SUM(F25*$D$45)</f>
        <v>115.26666666666667</v>
      </c>
      <c r="G71" s="1068">
        <f t="shared" si="174"/>
        <v>281.23333333333335</v>
      </c>
      <c r="I71" s="1070">
        <f t="shared" ref="I71:J71" si="175">SUM(I25*$D$45)</f>
        <v>152.53333333333333</v>
      </c>
      <c r="J71" s="1070">
        <f t="shared" si="175"/>
        <v>279.5</v>
      </c>
      <c r="L71" s="1071">
        <f t="shared" ref="L71:M71" si="176">SUM(L25*$D$45)</f>
        <v>161.19999999999999</v>
      </c>
      <c r="M71" s="1071">
        <f t="shared" si="176"/>
        <v>157.29999999999998</v>
      </c>
      <c r="N71" s="1071"/>
      <c r="O71" s="1071">
        <f t="shared" ref="O71:Q71" si="177">SUM(O25*$D$45)</f>
        <v>290.33333333333331</v>
      </c>
      <c r="P71" s="1071">
        <f t="shared" si="177"/>
        <v>351.43333333333328</v>
      </c>
      <c r="Q71" s="1071">
        <f t="shared" si="177"/>
        <v>363.13333333333327</v>
      </c>
      <c r="R71" s="1071"/>
      <c r="S71" s="1071">
        <f t="shared" ref="S71:T71" si="178">SUM(S25*$D$45)</f>
        <v>303.33333333333331</v>
      </c>
      <c r="T71" s="1071">
        <f t="shared" si="178"/>
        <v>297.26666666666659</v>
      </c>
      <c r="U71" s="1065"/>
      <c r="V71" s="1106">
        <f t="shared" si="29"/>
        <v>95.98333333333332</v>
      </c>
      <c r="W71" s="1106">
        <f t="shared" si="29"/>
        <v>233.35</v>
      </c>
      <c r="X71" s="1106">
        <f t="shared" si="30"/>
        <v>152.53333333333333</v>
      </c>
      <c r="Y71" s="1106">
        <f t="shared" si="30"/>
        <v>279.5</v>
      </c>
      <c r="AB71" s="1076">
        <f t="shared" si="31"/>
        <v>95.98333333333332</v>
      </c>
      <c r="AC71" s="1076">
        <f t="shared" si="32"/>
        <v>103.675</v>
      </c>
      <c r="AD71" s="1076">
        <f t="shared" si="33"/>
        <v>30.838888888888871</v>
      </c>
      <c r="AE71" s="1070">
        <v>0</v>
      </c>
      <c r="AF71" s="1070">
        <f t="shared" ref="AF71" si="179">SUM(AC71+AJ71*$AF$49)</f>
        <v>95.98333333333332</v>
      </c>
      <c r="AG71" s="1070">
        <f t="shared" ref="AG71" si="180">SUM(AJ71+AC71*$AG$49)</f>
        <v>199.6583333333333</v>
      </c>
      <c r="AH71" s="1070">
        <f t="shared" ref="AH71" si="181">SUM(AJ71+AC71*$AH$49)</f>
        <v>303.33333333333331</v>
      </c>
      <c r="AI71" s="1070">
        <f t="shared" ref="AI71" si="182">SUM(AJ71+AC71*$AI$49)</f>
        <v>407.00833333333333</v>
      </c>
      <c r="AJ71" s="1076">
        <f t="shared" si="58"/>
        <v>-7.6916666666666771</v>
      </c>
      <c r="AK71" s="1069"/>
      <c r="AL71" s="1090">
        <f t="shared" ref="AL71" si="183">X71</f>
        <v>152.53333333333333</v>
      </c>
      <c r="AM71" s="1090">
        <f>AVERAGE((Y71-I71))</f>
        <v>126.96666666666667</v>
      </c>
      <c r="AN71" s="1090">
        <f t="shared" ref="AN71" si="184">MAX(0,(AVERAGE(L71-I71,(M71-L71),(O71-J71),(P71-O71),(Q71-P71),(T71-S71))))</f>
        <v>13.7222222222222</v>
      </c>
      <c r="AO71" s="1070">
        <v>0</v>
      </c>
      <c r="AP71" s="1070">
        <f t="shared" ref="AP71" si="185">SUM(AT71+AM71*$AP$49)</f>
        <v>152.53333333333333</v>
      </c>
      <c r="AQ71" s="1070">
        <f t="shared" ref="AQ71" si="186">SUM(AT71+AM71*$AQ$49)</f>
        <v>279.5</v>
      </c>
      <c r="AR71" s="1070">
        <f t="shared" ref="AR71" si="187">SUM(AT71+AM71*$AR$49)</f>
        <v>406.46666666666664</v>
      </c>
      <c r="AS71" s="1070">
        <f t="shared" ref="AS71" si="188">SUM(AT71+AM71*$AS$49)</f>
        <v>533.43333333333339</v>
      </c>
      <c r="AT71" s="1091">
        <f t="shared" si="45"/>
        <v>25.566666666666663</v>
      </c>
    </row>
    <row r="72" spans="1:46">
      <c r="C72" s="1068"/>
      <c r="D72" s="1068"/>
      <c r="E72" s="1068"/>
      <c r="F72" s="1068"/>
      <c r="G72" s="1068"/>
      <c r="I72" s="1070"/>
      <c r="J72" s="1070"/>
      <c r="L72" s="1071"/>
      <c r="M72" s="1071"/>
      <c r="N72" s="1071"/>
      <c r="O72" s="1071"/>
      <c r="P72" s="1071"/>
      <c r="Q72" s="1071"/>
      <c r="R72" s="1071"/>
      <c r="S72" s="1071"/>
      <c r="T72" s="1071"/>
      <c r="U72" s="1065"/>
      <c r="V72" s="1106"/>
      <c r="W72" s="1106"/>
      <c r="X72" s="1106"/>
      <c r="Y72" s="1106"/>
      <c r="AB72" s="1076"/>
      <c r="AC72" s="1076"/>
      <c r="AD72" s="1076"/>
      <c r="AE72" s="1108">
        <v>0</v>
      </c>
      <c r="AF72" s="1108">
        <f>SUM(AD71)*$AF$51</f>
        <v>30.838888888888871</v>
      </c>
      <c r="AG72" s="1108">
        <f>SUM(AD71)*$AG$51</f>
        <v>61.677777777777742</v>
      </c>
      <c r="AH72" s="1108">
        <f>SUM(AD71)*$AH$51</f>
        <v>92.516666666666609</v>
      </c>
      <c r="AI72" s="1108">
        <f>SUM(AD71)*$AI$51</f>
        <v>123.35555555555548</v>
      </c>
      <c r="AJ72" s="1076"/>
      <c r="AK72" s="1069"/>
      <c r="AL72" s="1090"/>
      <c r="AM72" s="1090"/>
      <c r="AN72" s="1090"/>
      <c r="AO72" s="1114">
        <v>0</v>
      </c>
      <c r="AP72" s="1114">
        <f t="shared" ref="AP72" si="189">SUM(AN71*$AP$51)</f>
        <v>13.7222222222222</v>
      </c>
      <c r="AQ72" s="1114">
        <f t="shared" ref="AQ72" si="190">SUM(AN71*$AQ$51)</f>
        <v>27.4444444444444</v>
      </c>
      <c r="AR72" s="1114">
        <f t="shared" ref="AR72" si="191">SUM(AN71*$AR$51)</f>
        <v>41.1666666666666</v>
      </c>
      <c r="AS72" s="1114">
        <f t="shared" ref="AS72" si="192">SUM(AN71*$AS$51)</f>
        <v>54.8888888888888</v>
      </c>
      <c r="AT72" s="1091"/>
    </row>
    <row r="73" spans="1:46">
      <c r="A73" s="1039" t="s">
        <v>957</v>
      </c>
      <c r="C73" s="1068">
        <f t="shared" ref="C73:D73" si="193">SUM(C27*$D$45)</f>
        <v>0</v>
      </c>
      <c r="D73" s="1068">
        <f t="shared" si="193"/>
        <v>0</v>
      </c>
      <c r="E73" s="1068"/>
      <c r="F73" s="1068">
        <f t="shared" ref="F73:G73" si="194">SUM(F27*$D$45)</f>
        <v>0</v>
      </c>
      <c r="G73" s="1068">
        <f t="shared" si="194"/>
        <v>0</v>
      </c>
      <c r="I73" s="1070">
        <f t="shared" ref="I73:J73" si="195">SUM(I27*$D$45)</f>
        <v>16.899999999999999</v>
      </c>
      <c r="J73" s="1070">
        <f t="shared" si="195"/>
        <v>6.5</v>
      </c>
      <c r="L73" s="1071">
        <f t="shared" ref="L73:M73" si="196">SUM(L27*$D$45)</f>
        <v>123.93333333333334</v>
      </c>
      <c r="M73" s="1071">
        <f t="shared" si="196"/>
        <v>0</v>
      </c>
      <c r="N73" s="1071"/>
      <c r="O73" s="1071">
        <f t="shared" ref="O73:Q73" si="197">SUM(O27*$D$45)</f>
        <v>46.36666666666666</v>
      </c>
      <c r="P73" s="1071">
        <f t="shared" si="197"/>
        <v>38.133333333333333</v>
      </c>
      <c r="Q73" s="1071">
        <f t="shared" si="197"/>
        <v>61.533333333333324</v>
      </c>
      <c r="R73" s="1071"/>
      <c r="S73" s="1071">
        <f t="shared" ref="S73:T73" si="198">SUM(S27*$D$45)</f>
        <v>39</v>
      </c>
      <c r="T73" s="1071">
        <f t="shared" si="198"/>
        <v>65.86666666666666</v>
      </c>
      <c r="U73" s="1065"/>
      <c r="V73" s="1106">
        <f t="shared" si="29"/>
        <v>0</v>
      </c>
      <c r="W73" s="1106">
        <f t="shared" si="29"/>
        <v>0</v>
      </c>
      <c r="X73" s="1106">
        <f t="shared" si="30"/>
        <v>16.899999999999999</v>
      </c>
      <c r="Y73" s="1106">
        <f t="shared" si="30"/>
        <v>6.5</v>
      </c>
      <c r="AB73" s="1076">
        <f t="shared" si="31"/>
        <v>0</v>
      </c>
      <c r="AC73" s="1076">
        <f t="shared" si="32"/>
        <v>19.5</v>
      </c>
      <c r="AD73" s="1076">
        <f t="shared" si="33"/>
        <v>14.733333333333329</v>
      </c>
      <c r="AE73" s="1070">
        <v>0</v>
      </c>
      <c r="AF73" s="1070">
        <f t="shared" ref="AF73" si="199">SUM(AC73+AJ73*$AF$49)</f>
        <v>0</v>
      </c>
      <c r="AG73" s="1070">
        <f t="shared" ref="AG73" si="200">SUM(AJ73+AC73*$AG$49)</f>
        <v>19.5</v>
      </c>
      <c r="AH73" s="1070">
        <f t="shared" ref="AH73" si="201">SUM(AJ73+AC73*$AH$49)</f>
        <v>39</v>
      </c>
      <c r="AI73" s="1070">
        <f t="shared" ref="AI73" si="202">SUM(AJ73+AC73*$AI$49)</f>
        <v>58.5</v>
      </c>
      <c r="AJ73" s="1076">
        <f>SUM(AB73-AC73)</f>
        <v>-19.5</v>
      </c>
      <c r="AK73" s="1069"/>
      <c r="AL73" s="1090">
        <f t="shared" ref="AL73" si="203">X73</f>
        <v>16.899999999999999</v>
      </c>
      <c r="AM73" s="1090">
        <f t="shared" ref="AM73" si="204">AVERAGE((Y73-I73),(S73-J73))</f>
        <v>11.05</v>
      </c>
      <c r="AN73" s="1090">
        <f>MAX(0,(AVERAGE(L73-I73,(M73-L73),(O73-J73),(P73-O73),(Q73-P73),(T73-S73))))</f>
        <v>10.833333333333329</v>
      </c>
      <c r="AO73" s="1070">
        <v>0</v>
      </c>
      <c r="AP73" s="1070">
        <f t="shared" ref="AP73" si="205">SUM(AT73+AM73*$AP$49)</f>
        <v>16.899999999999999</v>
      </c>
      <c r="AQ73" s="1070">
        <f t="shared" ref="AQ73" si="206">SUM(AT73+AM73*$AQ$49)</f>
        <v>27.95</v>
      </c>
      <c r="AR73" s="1070">
        <f t="shared" ref="AR73" si="207">SUM(AT73+AM73*$AR$49)</f>
        <v>39</v>
      </c>
      <c r="AS73" s="1070">
        <f t="shared" ref="AS73" si="208">SUM(AT73+AM73*$AS$49)</f>
        <v>50.05</v>
      </c>
      <c r="AT73" s="1091">
        <f t="shared" si="45"/>
        <v>5.8499999999999979</v>
      </c>
    </row>
    <row r="74" spans="1:46">
      <c r="C74" s="1068"/>
      <c r="D74" s="1068"/>
      <c r="E74" s="1068"/>
      <c r="F74" s="1068"/>
      <c r="G74" s="1068"/>
      <c r="I74" s="1070"/>
      <c r="J74" s="1070"/>
      <c r="L74" s="1071"/>
      <c r="M74" s="1071"/>
      <c r="N74" s="1071"/>
      <c r="O74" s="1071"/>
      <c r="P74" s="1071"/>
      <c r="Q74" s="1071"/>
      <c r="R74" s="1071"/>
      <c r="S74" s="1071"/>
      <c r="T74" s="1071"/>
      <c r="U74" s="1065"/>
      <c r="V74" s="1106"/>
      <c r="W74" s="1106"/>
      <c r="X74" s="1106"/>
      <c r="Y74" s="1106"/>
      <c r="AB74" s="1076"/>
      <c r="AC74" s="1076"/>
      <c r="AD74" s="1076"/>
      <c r="AE74" s="1108">
        <v>0</v>
      </c>
      <c r="AF74" s="1108">
        <f>SUM(AD73)*$AF$51</f>
        <v>14.733333333333329</v>
      </c>
      <c r="AG74" s="1108">
        <f>SUM(AD73)*$AG$51</f>
        <v>29.466666666666658</v>
      </c>
      <c r="AH74" s="1108">
        <f>SUM(AD73)*$AH$51</f>
        <v>44.199999999999989</v>
      </c>
      <c r="AI74" s="1108">
        <f>SUM(AD73)*$AI$51</f>
        <v>58.933333333333316</v>
      </c>
      <c r="AJ74" s="1076"/>
      <c r="AK74" s="1069"/>
      <c r="AL74" s="1090"/>
      <c r="AM74" s="1090"/>
      <c r="AN74" s="1090"/>
      <c r="AO74" s="1114">
        <v>0</v>
      </c>
      <c r="AP74" s="1114">
        <f t="shared" ref="AP74" si="209">SUM(AN73*$AP$51)</f>
        <v>10.833333333333329</v>
      </c>
      <c r="AQ74" s="1114">
        <f t="shared" ref="AQ74" si="210">SUM(AN73*$AQ$51)</f>
        <v>21.666666666666657</v>
      </c>
      <c r="AR74" s="1114">
        <f t="shared" ref="AR74" si="211">SUM(AN73*$AR$51)</f>
        <v>32.499999999999986</v>
      </c>
      <c r="AS74" s="1114">
        <f t="shared" ref="AS74" si="212">SUM(AN73*$AS$51)</f>
        <v>43.333333333333314</v>
      </c>
      <c r="AT74" s="1091"/>
    </row>
    <row r="75" spans="1:46">
      <c r="A75" s="1039" t="s">
        <v>958</v>
      </c>
      <c r="C75" s="1068">
        <f t="shared" ref="C75:D75" si="213">SUM(C29*$D$45)</f>
        <v>33.799999999999997</v>
      </c>
      <c r="D75" s="1068">
        <f t="shared" si="213"/>
        <v>107.89999999999999</v>
      </c>
      <c r="E75" s="1068"/>
      <c r="F75" s="1068">
        <f t="shared" ref="F75:G75" si="214">SUM(F29*$D$45)</f>
        <v>59.36666666666666</v>
      </c>
      <c r="G75" s="1068">
        <f t="shared" si="214"/>
        <v>147.33333333333331</v>
      </c>
      <c r="I75" s="1070">
        <f t="shared" ref="I75:J75" si="215">SUM(I29*$D$45)</f>
        <v>87.966666666666669</v>
      </c>
      <c r="J75" s="1070">
        <f t="shared" si="215"/>
        <v>188.5</v>
      </c>
      <c r="L75" s="1071">
        <f t="shared" ref="L75:M75" si="216">SUM(L29*$D$45)</f>
        <v>79.73333333333332</v>
      </c>
      <c r="M75" s="1071">
        <f t="shared" si="216"/>
        <v>110.93333333333334</v>
      </c>
      <c r="N75" s="1071"/>
      <c r="O75" s="1071">
        <f t="shared" ref="O75:Q75" si="217">SUM(O29*$D$45)</f>
        <v>179.39999999999998</v>
      </c>
      <c r="P75" s="1071">
        <f t="shared" si="217"/>
        <v>209.73333333333332</v>
      </c>
      <c r="Q75" s="1071">
        <f t="shared" si="217"/>
        <v>144.29999999999998</v>
      </c>
      <c r="R75" s="1071"/>
      <c r="S75" s="1071">
        <f t="shared" ref="S75:T75" si="218">SUM(S29*$D$45)</f>
        <v>245.7</v>
      </c>
      <c r="T75" s="1071">
        <f t="shared" si="218"/>
        <v>213.2</v>
      </c>
      <c r="U75" s="1065"/>
      <c r="V75" s="1106">
        <f t="shared" si="29"/>
        <v>46.583333333333329</v>
      </c>
      <c r="W75" s="1106">
        <f t="shared" si="29"/>
        <v>127.61666666666665</v>
      </c>
      <c r="X75" s="1106">
        <f t="shared" si="30"/>
        <v>87.966666666666669</v>
      </c>
      <c r="Y75" s="1106">
        <f t="shared" si="30"/>
        <v>188.5</v>
      </c>
      <c r="AB75" s="1076">
        <f t="shared" si="31"/>
        <v>46.583333333333329</v>
      </c>
      <c r="AC75" s="1076">
        <f t="shared" si="32"/>
        <v>99.558333333333337</v>
      </c>
      <c r="AD75" s="1076">
        <f t="shared" si="33"/>
        <v>8.0888888888888939</v>
      </c>
      <c r="AE75" s="1070">
        <v>0</v>
      </c>
      <c r="AF75" s="1070">
        <f t="shared" ref="AF75" si="219">SUM(AC75+AJ75*$AF$49)</f>
        <v>46.583333333333329</v>
      </c>
      <c r="AG75" s="1070">
        <f t="shared" ref="AG75" si="220">SUM(AJ75+AC75*$AG$49)</f>
        <v>146.14166666666665</v>
      </c>
      <c r="AH75" s="1070">
        <f t="shared" ref="AH75" si="221">SUM(AJ75+AC75*$AH$49)</f>
        <v>245.7</v>
      </c>
      <c r="AI75" s="1070">
        <f t="shared" ref="AI75" si="222">SUM(AJ75+AC75*$AI$49)</f>
        <v>345.25833333333333</v>
      </c>
      <c r="AJ75" s="1076">
        <f t="shared" si="58"/>
        <v>-52.975000000000009</v>
      </c>
      <c r="AK75" s="1069"/>
      <c r="AL75" s="1090">
        <f t="shared" ref="AL75" si="223">X75</f>
        <v>87.966666666666669</v>
      </c>
      <c r="AM75" s="1090">
        <f t="shared" ref="AM75" si="224">AVERAGE((Y75-I75),(S75-J75))</f>
        <v>78.86666666666666</v>
      </c>
      <c r="AN75" s="1090">
        <f t="shared" ref="AN75" si="225">MAX(0,(AVERAGE(L75-I75,(M75-L75),(O75-J75),(P75-O75),(Q75-P75),(T75-S75))))</f>
        <v>0</v>
      </c>
      <c r="AO75" s="1070">
        <v>0</v>
      </c>
      <c r="AP75" s="1070">
        <f t="shared" ref="AP75" si="226">SUM(AT75+AM75*$AP$49)</f>
        <v>87.966666666666669</v>
      </c>
      <c r="AQ75" s="1070">
        <f t="shared" ref="AQ75" si="227">SUM(AT75+AM75*$AQ$49)</f>
        <v>166.83333333333331</v>
      </c>
      <c r="AR75" s="1070">
        <f t="shared" ref="AR75" si="228">SUM(AT75+AM75*$AR$49)</f>
        <v>245.7</v>
      </c>
      <c r="AS75" s="1070">
        <f t="shared" ref="AS75" si="229">SUM(AT75+AM75*$AS$49)</f>
        <v>324.56666666666666</v>
      </c>
      <c r="AT75" s="1091">
        <f t="shared" si="45"/>
        <v>9.1000000000000085</v>
      </c>
    </row>
    <row r="76" spans="1:46">
      <c r="C76" s="1068"/>
      <c r="D76" s="1068"/>
      <c r="E76" s="1068"/>
      <c r="F76" s="1068"/>
      <c r="G76" s="1068"/>
      <c r="I76" s="1070"/>
      <c r="J76" s="1070"/>
      <c r="L76" s="1071"/>
      <c r="M76" s="1071"/>
      <c r="N76" s="1071"/>
      <c r="O76" s="1071"/>
      <c r="P76" s="1071"/>
      <c r="Q76" s="1071"/>
      <c r="R76" s="1071"/>
      <c r="S76" s="1071"/>
      <c r="T76" s="1071"/>
      <c r="U76" s="1065"/>
      <c r="V76" s="1106"/>
      <c r="W76" s="1106"/>
      <c r="X76" s="1106"/>
      <c r="Y76" s="1106"/>
      <c r="AB76" s="1076"/>
      <c r="AC76" s="1076"/>
      <c r="AD76" s="1076"/>
      <c r="AE76" s="1108">
        <v>0</v>
      </c>
      <c r="AF76" s="1108">
        <f>SUM(AD75)*$AF$51</f>
        <v>8.0888888888888939</v>
      </c>
      <c r="AG76" s="1108">
        <f>SUM(AD75)*$AG$51</f>
        <v>16.177777777777788</v>
      </c>
      <c r="AH76" s="1108">
        <f>SUM(AD75)*$AH$51</f>
        <v>24.26666666666668</v>
      </c>
      <c r="AI76" s="1108">
        <f>SUM(AD75)*$AI$51</f>
        <v>32.355555555555576</v>
      </c>
      <c r="AJ76" s="1076"/>
      <c r="AK76" s="1069"/>
      <c r="AL76" s="1090"/>
      <c r="AM76" s="1090"/>
      <c r="AN76" s="1090"/>
      <c r="AO76" s="1114">
        <v>0</v>
      </c>
      <c r="AP76" s="1114">
        <f t="shared" ref="AP76" si="230">SUM(AN75*$AP$51)</f>
        <v>0</v>
      </c>
      <c r="AQ76" s="1114">
        <f t="shared" ref="AQ76" si="231">SUM(AN75*$AQ$51)</f>
        <v>0</v>
      </c>
      <c r="AR76" s="1114">
        <f t="shared" ref="AR76" si="232">SUM(AN75*$AR$51)</f>
        <v>0</v>
      </c>
      <c r="AS76" s="1114">
        <f t="shared" ref="AS76" si="233">SUM(AN75*$AS$51)</f>
        <v>0</v>
      </c>
      <c r="AT76" s="1091"/>
    </row>
    <row r="77" spans="1:46">
      <c r="A77" s="1039" t="s">
        <v>959</v>
      </c>
      <c r="C77" s="1068">
        <f t="shared" ref="C77:D77" si="234">SUM(C31*$D$45)</f>
        <v>104.43333333333334</v>
      </c>
      <c r="D77" s="1068">
        <f t="shared" si="234"/>
        <v>121.33333333333333</v>
      </c>
      <c r="E77" s="1068"/>
      <c r="F77" s="1068">
        <f t="shared" ref="F77:G77" si="235">SUM(F31*$D$45)</f>
        <v>107.03333333333332</v>
      </c>
      <c r="G77" s="1068">
        <f t="shared" si="235"/>
        <v>192.83333333333331</v>
      </c>
      <c r="I77" s="1070">
        <f t="shared" ref="I77:J77" si="236">SUM(I31*$D$45)</f>
        <v>99.23333333333332</v>
      </c>
      <c r="J77" s="1070">
        <f t="shared" si="236"/>
        <v>191.96666666666664</v>
      </c>
      <c r="L77" s="1071">
        <f t="shared" ref="L77:M77" si="237">SUM(L31*$D$45)</f>
        <v>126.53333333333332</v>
      </c>
      <c r="M77" s="1071">
        <f t="shared" si="237"/>
        <v>114.83333333333333</v>
      </c>
      <c r="N77" s="1071"/>
      <c r="O77" s="1071">
        <f t="shared" ref="O77:Q77" si="238">SUM(O31*$D$45)</f>
        <v>235.29999999999998</v>
      </c>
      <c r="P77" s="1071">
        <f t="shared" si="238"/>
        <v>245.7</v>
      </c>
      <c r="Q77" s="1071">
        <f t="shared" si="238"/>
        <v>199.76666666666665</v>
      </c>
      <c r="R77" s="1071"/>
      <c r="S77" s="1071">
        <f t="shared" ref="S77:T77" si="239">SUM(S31*$D$45)</f>
        <v>238.76666666666665</v>
      </c>
      <c r="T77" s="1071">
        <f t="shared" si="239"/>
        <v>242.23333333333332</v>
      </c>
      <c r="U77" s="1065"/>
      <c r="V77" s="1106">
        <f t="shared" si="29"/>
        <v>105.73333333333332</v>
      </c>
      <c r="W77" s="1106">
        <f t="shared" si="29"/>
        <v>157.08333333333331</v>
      </c>
      <c r="X77" s="1106">
        <f t="shared" si="30"/>
        <v>99.23333333333332</v>
      </c>
      <c r="Y77" s="1106">
        <f t="shared" si="30"/>
        <v>191.96666666666664</v>
      </c>
      <c r="AB77" s="1076">
        <f t="shared" si="31"/>
        <v>105.73333333333332</v>
      </c>
      <c r="AC77" s="1076">
        <f t="shared" si="32"/>
        <v>66.516666666666666</v>
      </c>
      <c r="AD77" s="1076">
        <f t="shared" si="33"/>
        <v>9.2083333333333357</v>
      </c>
      <c r="AE77" s="1070">
        <v>0</v>
      </c>
      <c r="AF77" s="1070">
        <f t="shared" ref="AF77" si="240">SUM(AC77+AJ77*$AF$49)</f>
        <v>105.73333333333332</v>
      </c>
      <c r="AG77" s="1070">
        <f t="shared" ref="AG77" si="241">SUM(AJ77+AC77*$AG$49)</f>
        <v>172.25</v>
      </c>
      <c r="AH77" s="1070">
        <f t="shared" ref="AH77" si="242">SUM(AJ77+AC77*$AH$49)</f>
        <v>238.76666666666665</v>
      </c>
      <c r="AI77" s="1070">
        <f t="shared" ref="AI77" si="243">SUM(AJ77+AC77*$AI$49)</f>
        <v>305.2833333333333</v>
      </c>
      <c r="AJ77" s="1076">
        <f t="shared" si="58"/>
        <v>39.216666666666654</v>
      </c>
      <c r="AK77" s="1069"/>
      <c r="AL77" s="1090">
        <f>X77</f>
        <v>99.23333333333332</v>
      </c>
      <c r="AM77" s="1090">
        <f t="shared" ref="AM77" si="244">AVERAGE((Y77-I77),(S77-J77))</f>
        <v>69.766666666666666</v>
      </c>
      <c r="AN77" s="1090">
        <f t="shared" ref="AN77" si="245">MAX(0,(AVERAGE(L77-I77,(M77-L77),(O77-J77),(P77-O77),(Q77-P77),(T77-S77))))</f>
        <v>4.4777777777777814</v>
      </c>
      <c r="AO77" s="1070">
        <v>0</v>
      </c>
      <c r="AP77" s="1070">
        <f t="shared" ref="AP77" si="246">SUM(AT77+AM77*$AP$49)</f>
        <v>99.23333333333332</v>
      </c>
      <c r="AQ77" s="1070">
        <f t="shared" ref="AQ77" si="247">SUM(AT77+AM77*$AQ$49)</f>
        <v>169</v>
      </c>
      <c r="AR77" s="1070">
        <f t="shared" ref="AR77" si="248">SUM(AT77+AM77*$AR$49)</f>
        <v>238.76666666666665</v>
      </c>
      <c r="AS77" s="1070">
        <f t="shared" ref="AS77" si="249">SUM(AT77+AM77*$AS$49)</f>
        <v>308.5333333333333</v>
      </c>
      <c r="AT77" s="1091">
        <f t="shared" si="45"/>
        <v>29.466666666666654</v>
      </c>
    </row>
    <row r="78" spans="1:46">
      <c r="C78" s="1121"/>
      <c r="D78" s="1121"/>
      <c r="E78" s="1121"/>
      <c r="F78" s="1121"/>
      <c r="G78" s="1121"/>
      <c r="I78" s="1122"/>
      <c r="J78" s="1122"/>
      <c r="L78" s="1123"/>
      <c r="M78" s="1123"/>
      <c r="N78" s="1123"/>
      <c r="O78" s="1123"/>
      <c r="P78" s="1123"/>
      <c r="Q78" s="1123"/>
      <c r="R78" s="1123"/>
      <c r="S78" s="1123"/>
      <c r="T78" s="1123"/>
      <c r="U78" s="1065"/>
      <c r="V78" s="1106"/>
      <c r="W78" s="1106"/>
      <c r="X78" s="1106"/>
      <c r="Y78" s="1106"/>
      <c r="AB78" s="1076"/>
      <c r="AC78" s="1076"/>
      <c r="AD78" s="1076"/>
      <c r="AE78" s="1114">
        <v>0</v>
      </c>
      <c r="AF78" s="1114">
        <f>SUM(AD77)*$AF$51</f>
        <v>9.2083333333333357</v>
      </c>
      <c r="AG78" s="1114">
        <f>SUM(AD77)*$AG$51</f>
        <v>18.416666666666671</v>
      </c>
      <c r="AH78" s="1114">
        <f>SUM(AD77)*$AH$51</f>
        <v>27.625000000000007</v>
      </c>
      <c r="AI78" s="1114">
        <f>SUM(AD77)*$AI$51</f>
        <v>36.833333333333343</v>
      </c>
      <c r="AJ78" s="1076"/>
      <c r="AK78" s="1069"/>
      <c r="AL78" s="1090"/>
      <c r="AM78" s="1090"/>
      <c r="AN78" s="1090"/>
      <c r="AO78" s="1114">
        <v>0</v>
      </c>
      <c r="AP78" s="1114">
        <f>SUM(AN77*$AP$51)</f>
        <v>4.4777777777777814</v>
      </c>
      <c r="AQ78" s="1114">
        <f>SUM(AN77*$AQ$51)</f>
        <v>8.9555555555555628</v>
      </c>
      <c r="AR78" s="1114">
        <f>SUM(AN77*$AR$51)</f>
        <v>13.433333333333344</v>
      </c>
      <c r="AS78" s="1114">
        <f>SUM(AN77*$AS$51)</f>
        <v>17.911111111111126</v>
      </c>
      <c r="AT78" s="1091"/>
    </row>
    <row r="79" spans="1:46">
      <c r="A79" s="1046" t="s">
        <v>960</v>
      </c>
      <c r="U79" s="1065"/>
      <c r="AJ79" s="1089"/>
    </row>
    <row r="80" spans="1:46">
      <c r="D80" s="1318"/>
      <c r="E80" s="1318"/>
      <c r="U80" s="1065"/>
      <c r="AB80" s="1092" t="s">
        <v>961</v>
      </c>
      <c r="AC80" s="1093"/>
      <c r="AD80" s="1094"/>
      <c r="AE80" s="1314" t="s">
        <v>971</v>
      </c>
      <c r="AF80" s="1314"/>
      <c r="AG80" s="1314"/>
      <c r="AH80" s="1314"/>
      <c r="AI80" s="1314"/>
      <c r="AJ80" s="1089"/>
      <c r="AK80" s="1039" t="s">
        <v>26</v>
      </c>
      <c r="AL80" s="1092" t="s">
        <v>961</v>
      </c>
      <c r="AM80" s="1093"/>
      <c r="AN80" s="1094"/>
      <c r="AO80" s="1314" t="s">
        <v>971</v>
      </c>
      <c r="AP80" s="1314"/>
      <c r="AQ80" s="1314"/>
      <c r="AR80" s="1314"/>
      <c r="AS80" s="1314"/>
    </row>
    <row r="81" spans="1:46">
      <c r="A81" s="1318" t="s">
        <v>962</v>
      </c>
      <c r="B81" s="1318"/>
      <c r="C81" s="1124">
        <v>0.45300000000000001</v>
      </c>
      <c r="D81" s="1124">
        <v>0.371</v>
      </c>
      <c r="E81" s="1124"/>
      <c r="F81" s="1124">
        <v>0.45300000000000001</v>
      </c>
      <c r="G81" s="1124">
        <v>0.371</v>
      </c>
      <c r="H81" s="1124"/>
      <c r="I81" s="1124">
        <v>0.41</v>
      </c>
      <c r="J81" s="1124">
        <v>0.36</v>
      </c>
      <c r="K81" s="1124"/>
      <c r="L81" s="1124">
        <v>0.3</v>
      </c>
      <c r="M81" s="1124">
        <v>0.35</v>
      </c>
      <c r="N81" s="1124"/>
      <c r="O81" s="1124">
        <v>0.37</v>
      </c>
      <c r="P81" s="1124">
        <v>0.31</v>
      </c>
      <c r="Q81" s="1124">
        <v>0.37</v>
      </c>
      <c r="R81" s="1124"/>
      <c r="S81" s="1124">
        <v>0.317</v>
      </c>
      <c r="T81" s="1124">
        <v>0.32800000000000001</v>
      </c>
      <c r="U81" s="1065"/>
      <c r="V81" s="1125">
        <v>0.45300000000000001</v>
      </c>
      <c r="W81" s="1125">
        <v>0.371</v>
      </c>
      <c r="X81" s="1088"/>
      <c r="Y81" s="1088"/>
      <c r="AB81" s="1089"/>
      <c r="AC81" s="1089"/>
      <c r="AD81" s="1089"/>
      <c r="AE81" s="1089"/>
      <c r="AF81" s="1089"/>
      <c r="AG81" s="1089"/>
      <c r="AH81" s="1089"/>
      <c r="AI81" s="1089"/>
      <c r="AJ81" s="1089"/>
      <c r="AL81" s="1089"/>
      <c r="AM81" s="1089"/>
      <c r="AN81" s="1069"/>
      <c r="AO81" s="1069"/>
      <c r="AP81" s="1089"/>
      <c r="AQ81" s="1089"/>
      <c r="AR81" s="1089"/>
      <c r="AS81" s="1089"/>
      <c r="AT81" s="1089"/>
    </row>
    <row r="82" spans="1:46">
      <c r="A82" s="1067" t="s">
        <v>963</v>
      </c>
      <c r="C82" s="1068">
        <f>SUM(C67*C81)</f>
        <v>23.3597</v>
      </c>
      <c r="D82" s="1068">
        <f>SUM(D67*D81)</f>
        <v>67.039699999999996</v>
      </c>
      <c r="E82" s="1068"/>
      <c r="F82" s="1068">
        <f t="shared" ref="F82:G82" si="250">SUM(F67*F81)</f>
        <v>48.878699999999995</v>
      </c>
      <c r="G82" s="1068">
        <f t="shared" si="250"/>
        <v>99.675333333333313</v>
      </c>
      <c r="H82" s="1069"/>
      <c r="I82" s="1070">
        <f t="shared" ref="I82:J82" si="251">SUM(I67*I81)</f>
        <v>76.041333333333313</v>
      </c>
      <c r="J82" s="1070">
        <f t="shared" si="251"/>
        <v>139.30799999999999</v>
      </c>
      <c r="K82" s="1069"/>
      <c r="L82" s="1071">
        <f t="shared" ref="L82:M82" si="252">SUM(L67*L81)</f>
        <v>41.86</v>
      </c>
      <c r="M82" s="1071">
        <f t="shared" si="252"/>
        <v>72.344999999999985</v>
      </c>
      <c r="N82" s="1071"/>
      <c r="O82" s="1071">
        <f t="shared" ref="O82:Q82" si="253">SUM(O67*O81)</f>
        <v>174.76333333333332</v>
      </c>
      <c r="P82" s="1071">
        <f t="shared" si="253"/>
        <v>144.13966666666667</v>
      </c>
      <c r="Q82" s="1071">
        <f t="shared" si="253"/>
        <v>141.41399999999999</v>
      </c>
      <c r="R82" s="1071"/>
      <c r="S82" s="1071">
        <f t="shared" ref="S82" si="254">SUM(S67*S81)</f>
        <v>172.66989999999998</v>
      </c>
      <c r="T82" s="1071">
        <f>SUM(T67*T81)</f>
        <v>160.75280000000001</v>
      </c>
      <c r="U82" s="1065"/>
      <c r="V82" s="1106">
        <f>AVERAGE(C82,F82)</f>
        <v>36.119199999999999</v>
      </c>
      <c r="W82" s="1106">
        <f>AVERAGE(D82,G82)</f>
        <v>83.357516666666655</v>
      </c>
      <c r="X82" s="1106">
        <f>I82</f>
        <v>76.041333333333313</v>
      </c>
      <c r="Y82" s="1106">
        <f t="shared" ref="Y82" si="255">J82</f>
        <v>139.30799999999999</v>
      </c>
      <c r="AB82" s="1076">
        <f>V82</f>
        <v>36.119199999999999</v>
      </c>
      <c r="AC82" s="1076">
        <f>AVERAGE((W82-V82),(S82-W82))</f>
        <v>68.275349999999989</v>
      </c>
      <c r="AD82" s="1076">
        <f t="shared" ref="AD82" si="256">MAX(0,(AVERAGE(L82-V82,(M82-L82),(O82-W82),(P82-O82),(Q82-P82),(T82-S82))))</f>
        <v>13.727530555555555</v>
      </c>
      <c r="AE82" s="1070">
        <v>0</v>
      </c>
      <c r="AF82" s="1070">
        <f>SUM(AJ82+AC82*$AF$49)</f>
        <v>36.119199999999999</v>
      </c>
      <c r="AG82" s="1070">
        <f>SUM(AJ82+AC82*$AG$49)</f>
        <v>104.39454999999998</v>
      </c>
      <c r="AH82" s="1070">
        <f>SUM(AJ82+AC82*$AH$49)</f>
        <v>172.66989999999996</v>
      </c>
      <c r="AI82" s="1070">
        <f>SUM(AJ82+AC82*$AI$49)</f>
        <v>240.94524999999996</v>
      </c>
      <c r="AJ82" s="1076">
        <f t="shared" ref="AJ82" si="257">SUM(AB82-AC82)</f>
        <v>-32.15614999999999</v>
      </c>
      <c r="AK82" s="1069"/>
      <c r="AL82" s="1090">
        <f>X82</f>
        <v>76.041333333333313</v>
      </c>
      <c r="AM82" s="1090">
        <f>AVERAGE((Y82-I82),(S82-J82))</f>
        <v>48.314283333333336</v>
      </c>
      <c r="AN82" s="1090">
        <f t="shared" ref="AN82" si="258">MAX(0,(AVERAGE(L82-I82,(M82-L82),(O82-J82),(P82-O82),(Q82-P82),(T82-S82))))</f>
        <v>0</v>
      </c>
      <c r="AO82" s="1070">
        <v>0</v>
      </c>
      <c r="AP82" s="1070">
        <f>SUM(AT82+AM82*$AP$49)</f>
        <v>76.041333333333313</v>
      </c>
      <c r="AQ82" s="1070">
        <f>SUM(AT82+AM82*$AQ$49)</f>
        <v>124.35561666666665</v>
      </c>
      <c r="AR82" s="1070">
        <f>SUM(AT82+AM82*$AR$49)</f>
        <v>172.66989999999998</v>
      </c>
      <c r="AS82" s="1070">
        <f>SUM(AT82+AM82*$AS$49)</f>
        <v>220.98418333333331</v>
      </c>
      <c r="AT82" s="1091">
        <f t="shared" ref="AT82" si="259">SUM(AL82-AM82)</f>
        <v>27.727049999999977</v>
      </c>
    </row>
    <row r="83" spans="1:46">
      <c r="B83" s="1067"/>
      <c r="U83" s="1065"/>
      <c r="V83" s="1088"/>
      <c r="W83" s="1088"/>
      <c r="X83" s="1088"/>
      <c r="Y83" s="1088"/>
      <c r="AB83" s="1076"/>
      <c r="AC83" s="1076"/>
      <c r="AD83" s="1076"/>
      <c r="AE83" s="1114">
        <v>0</v>
      </c>
      <c r="AF83" s="1114">
        <f>SUM(AD82)*$AF$51</f>
        <v>13.727530555555555</v>
      </c>
      <c r="AG83" s="1114">
        <f>SUM(AD82)*$AG$51</f>
        <v>27.45506111111111</v>
      </c>
      <c r="AH83" s="1114">
        <f>SUM(AD82)*$AH$51</f>
        <v>41.182591666666667</v>
      </c>
      <c r="AI83" s="1114">
        <f>SUM(AD82)*$AI$51</f>
        <v>54.910122222222221</v>
      </c>
      <c r="AJ83" s="1076"/>
      <c r="AK83" s="1069"/>
      <c r="AL83" s="1090"/>
      <c r="AM83" s="1090"/>
      <c r="AN83" s="1090"/>
      <c r="AO83" s="1108">
        <v>0</v>
      </c>
      <c r="AP83" s="1108">
        <f>SUM(AN82*$AP$4)</f>
        <v>0</v>
      </c>
      <c r="AQ83" s="1108">
        <f>SUM(AN82*$AQ$4)</f>
        <v>0</v>
      </c>
      <c r="AR83" s="1108">
        <f>SUM(AN82*$AR$4)</f>
        <v>0</v>
      </c>
      <c r="AS83" s="1108">
        <f>SUM(AN82*$AS$4)</f>
        <v>0</v>
      </c>
      <c r="AT83" s="1091"/>
    </row>
    <row r="84" spans="1:46">
      <c r="A84" s="1318" t="s">
        <v>964</v>
      </c>
      <c r="B84" s="1318"/>
      <c r="C84" s="1124">
        <v>0.23</v>
      </c>
      <c r="D84" s="1330">
        <v>0.26700000000000002</v>
      </c>
      <c r="E84" s="1330"/>
      <c r="F84" s="1124">
        <v>0.23</v>
      </c>
      <c r="G84" s="1124">
        <v>0.26700000000000002</v>
      </c>
      <c r="H84" s="1124"/>
      <c r="I84" s="1124">
        <v>0.26</v>
      </c>
      <c r="J84" s="1124">
        <v>0.3</v>
      </c>
      <c r="K84" s="1124"/>
      <c r="L84" s="1124">
        <v>0.33</v>
      </c>
      <c r="M84" s="1124">
        <v>0.28999999999999998</v>
      </c>
      <c r="N84" s="1124"/>
      <c r="O84" s="1124">
        <v>0.27</v>
      </c>
      <c r="P84" s="1124">
        <v>0.24</v>
      </c>
      <c r="Q84" s="1124">
        <v>0.37</v>
      </c>
      <c r="R84" s="1124"/>
      <c r="S84" s="1124">
        <v>0.39700000000000002</v>
      </c>
      <c r="T84" s="1124">
        <v>0.35599999999999998</v>
      </c>
      <c r="U84" s="1065"/>
      <c r="V84" s="1125">
        <v>0.23</v>
      </c>
      <c r="W84" s="1125">
        <v>0.26700000000000002</v>
      </c>
      <c r="X84" s="1088"/>
      <c r="Y84" s="1088"/>
      <c r="AB84" s="1076"/>
      <c r="AC84" s="1076"/>
      <c r="AD84" s="1076"/>
      <c r="AE84" s="1069"/>
      <c r="AF84" s="1069"/>
      <c r="AG84" s="1069"/>
      <c r="AH84" s="1069"/>
      <c r="AI84" s="1069"/>
      <c r="AJ84" s="1076"/>
      <c r="AK84" s="1069"/>
      <c r="AL84" s="1090"/>
      <c r="AM84" s="1090"/>
      <c r="AN84" s="1090"/>
      <c r="AO84" s="1069"/>
      <c r="AP84" s="1069"/>
      <c r="AQ84" s="1069"/>
      <c r="AR84" s="1069"/>
      <c r="AS84" s="1069"/>
      <c r="AT84" s="1091"/>
    </row>
    <row r="85" spans="1:46">
      <c r="A85" s="1039" t="s">
        <v>965</v>
      </c>
      <c r="C85" s="1068">
        <f>SUM(C77*C84)</f>
        <v>24.019666666666669</v>
      </c>
      <c r="D85" s="1068">
        <f t="shared" ref="D85:T85" si="260">SUM(D77*D84)</f>
        <v>32.396000000000001</v>
      </c>
      <c r="E85" s="1068"/>
      <c r="F85" s="1068">
        <f t="shared" si="260"/>
        <v>24.617666666666665</v>
      </c>
      <c r="G85" s="1068">
        <f t="shared" si="260"/>
        <v>51.486499999999999</v>
      </c>
      <c r="H85" s="1069"/>
      <c r="I85" s="1070">
        <f t="shared" si="260"/>
        <v>25.800666666666665</v>
      </c>
      <c r="J85" s="1070">
        <f t="shared" si="260"/>
        <v>57.589999999999989</v>
      </c>
      <c r="K85" s="1069"/>
      <c r="L85" s="1071">
        <f t="shared" si="260"/>
        <v>41.755999999999993</v>
      </c>
      <c r="M85" s="1071">
        <f t="shared" si="260"/>
        <v>33.301666666666662</v>
      </c>
      <c r="N85" s="1071"/>
      <c r="O85" s="1071">
        <f t="shared" si="260"/>
        <v>63.530999999999999</v>
      </c>
      <c r="P85" s="1071">
        <f t="shared" si="260"/>
        <v>58.967999999999996</v>
      </c>
      <c r="Q85" s="1071">
        <f t="shared" si="260"/>
        <v>73.913666666666657</v>
      </c>
      <c r="R85" s="1071"/>
      <c r="S85" s="1071">
        <f t="shared" si="260"/>
        <v>94.790366666666671</v>
      </c>
      <c r="T85" s="1071">
        <f t="shared" si="260"/>
        <v>86.235066666666654</v>
      </c>
      <c r="U85" s="1065"/>
      <c r="V85" s="1106">
        <f>AVERAGE(C85,F85)</f>
        <v>24.318666666666665</v>
      </c>
      <c r="W85" s="1106">
        <f>AVERAGE(D85,G85)</f>
        <v>41.941249999999997</v>
      </c>
      <c r="X85" s="1106">
        <f t="shared" ref="X85:Y85" si="261">I85</f>
        <v>25.800666666666665</v>
      </c>
      <c r="Y85" s="1106">
        <f t="shared" si="261"/>
        <v>57.589999999999989</v>
      </c>
      <c r="AB85" s="1076">
        <f t="shared" ref="AB85" si="262">V85</f>
        <v>24.318666666666665</v>
      </c>
      <c r="AC85" s="1076">
        <f>AVERAGE((W85-V85),(S85-W85))</f>
        <v>35.235849999999999</v>
      </c>
      <c r="AD85" s="1076">
        <f t="shared" ref="AD85" si="263">MAX(0,(AVERAGE(L85-V85,(M85-L85),(O85-W85),(P85-O85),(Q85-P85),(T85-S85))))</f>
        <v>5.4000194444444398</v>
      </c>
      <c r="AE85" s="1070">
        <v>0</v>
      </c>
      <c r="AF85" s="1070">
        <f>SUM(AJ85+AC85*$AF$49)</f>
        <v>24.318666666666665</v>
      </c>
      <c r="AG85" s="1070">
        <f>SUM(AJ85+AC85*$AG$49)</f>
        <v>59.554516666666665</v>
      </c>
      <c r="AH85" s="1070">
        <f>SUM(AJ85+AC85*$AH$49)</f>
        <v>94.790366666666671</v>
      </c>
      <c r="AI85" s="1070">
        <f>SUM(AJ85+AC85*$AI$49)</f>
        <v>130.02621666666667</v>
      </c>
      <c r="AJ85" s="1076">
        <f>SUM(AB85-AC85)</f>
        <v>-10.917183333333334</v>
      </c>
      <c r="AK85" s="1069"/>
      <c r="AL85" s="1090">
        <f>X85</f>
        <v>25.800666666666665</v>
      </c>
      <c r="AM85" s="1090">
        <f t="shared" ref="AM85" si="264">AVERAGE((Y85-I85),(S85-J85))</f>
        <v>34.49485</v>
      </c>
      <c r="AN85" s="1090">
        <f>MAX(0,(AVERAGE(L85-I85,(M85-L85),(O85-J85),(P85-O85),(Q85-P85),(T85-S85))))</f>
        <v>2.5448944444444415</v>
      </c>
      <c r="AO85" s="1070">
        <v>0</v>
      </c>
      <c r="AP85" s="1070">
        <f>SUM(AT85+AM85*$AP$49)</f>
        <v>25.800666666666665</v>
      </c>
      <c r="AQ85" s="1070">
        <f>SUM(AT85+AM85*$AQ$49)</f>
        <v>60.295516666666664</v>
      </c>
      <c r="AR85" s="1070">
        <f>SUM(AT85+AM85*$AR$49)</f>
        <v>94.790366666666671</v>
      </c>
      <c r="AS85" s="1070">
        <f>SUM(AT85+AM85*$AS$49)</f>
        <v>129.28521666666666</v>
      </c>
      <c r="AT85" s="1091">
        <f>SUM(AL85-AM85)</f>
        <v>-8.6941833333333349</v>
      </c>
    </row>
    <row r="86" spans="1:46">
      <c r="D86" s="1318"/>
      <c r="E86" s="1318"/>
      <c r="U86" s="1065"/>
      <c r="V86" s="1088"/>
      <c r="W86" s="1088"/>
      <c r="X86" s="1088"/>
      <c r="Y86" s="1088"/>
      <c r="AB86" s="1076"/>
      <c r="AC86" s="1076"/>
      <c r="AD86" s="1076"/>
      <c r="AE86" s="1114">
        <v>0</v>
      </c>
      <c r="AF86" s="1114">
        <f>SUM(AD85)*$AF$51</f>
        <v>5.4000194444444398</v>
      </c>
      <c r="AG86" s="1114">
        <f>SUM(AD85)*$AG$51</f>
        <v>10.80003888888888</v>
      </c>
      <c r="AH86" s="1114">
        <f>SUM(AD85)*$AH$51</f>
        <v>16.20005833333332</v>
      </c>
      <c r="AI86" s="1114">
        <f>SUM(AD85)*$AI$51</f>
        <v>21.600077777777759</v>
      </c>
      <c r="AJ86" s="1076"/>
      <c r="AK86" s="1069"/>
      <c r="AL86" s="1090"/>
      <c r="AM86" s="1090"/>
      <c r="AN86" s="1090"/>
      <c r="AO86" s="1114">
        <v>0</v>
      </c>
      <c r="AP86" s="1114">
        <f>SUM(AN85*$AP$4)</f>
        <v>2.5448944444444415</v>
      </c>
      <c r="AQ86" s="1114">
        <f>SUM(AN85*$AQ$4)</f>
        <v>5.0897888888888829</v>
      </c>
      <c r="AR86" s="1114">
        <f>SUM(AN85*$AR$4)</f>
        <v>7.6346833333333244</v>
      </c>
      <c r="AS86" s="1114">
        <f>SUM(AN85*$AS$4)</f>
        <v>10.179577777777766</v>
      </c>
      <c r="AT86" s="1091"/>
    </row>
    <row r="87" spans="1:46">
      <c r="A87" s="1039" t="s">
        <v>966</v>
      </c>
      <c r="C87" s="1124">
        <v>0.60699999999999998</v>
      </c>
      <c r="D87" s="1124">
        <v>0.66400000000000003</v>
      </c>
      <c r="E87" s="1124"/>
      <c r="F87" s="1124">
        <v>0.60699999999999998</v>
      </c>
      <c r="G87" s="1124">
        <v>0.66400000000000003</v>
      </c>
      <c r="H87" s="1126"/>
      <c r="I87" s="1124">
        <v>0.34</v>
      </c>
      <c r="J87" s="1124">
        <v>0.33</v>
      </c>
      <c r="K87" s="1124"/>
      <c r="L87" s="1124">
        <v>0.28000000000000003</v>
      </c>
      <c r="M87" s="1124">
        <v>0.24</v>
      </c>
      <c r="N87" s="1124"/>
      <c r="O87" s="1124">
        <v>0.35</v>
      </c>
      <c r="P87" s="1124">
        <v>0.4</v>
      </c>
      <c r="Q87" s="1124">
        <v>0.34</v>
      </c>
      <c r="R87" s="1124"/>
      <c r="S87" s="1124">
        <v>0.36299999999999999</v>
      </c>
      <c r="T87" s="1124">
        <v>0.49199999999999999</v>
      </c>
      <c r="U87" s="1065"/>
      <c r="V87" s="1125">
        <v>0.60699999999999998</v>
      </c>
      <c r="W87" s="1125">
        <v>0.66400000000000003</v>
      </c>
      <c r="X87" s="1088"/>
      <c r="Y87" s="1088"/>
      <c r="AB87" s="1076"/>
      <c r="AC87" s="1076"/>
      <c r="AD87" s="1076"/>
      <c r="AE87" s="1069"/>
      <c r="AF87" s="1069"/>
      <c r="AG87" s="1069"/>
      <c r="AH87" s="1069"/>
      <c r="AI87" s="1069"/>
      <c r="AJ87" s="1076"/>
      <c r="AK87" s="1069"/>
      <c r="AL87" s="1090"/>
      <c r="AM87" s="1090"/>
      <c r="AN87" s="1090"/>
      <c r="AO87" s="1069"/>
      <c r="AP87" s="1069"/>
      <c r="AQ87" s="1069"/>
      <c r="AR87" s="1069"/>
      <c r="AS87" s="1069"/>
      <c r="AT87" s="1091"/>
    </row>
    <row r="88" spans="1:46">
      <c r="A88" s="1039" t="s">
        <v>967</v>
      </c>
      <c r="C88" s="1068">
        <f>SUM(C61*C87)</f>
        <v>139.93373333333332</v>
      </c>
      <c r="D88" s="1068">
        <f t="shared" ref="D88" si="265">SUM(D61*D87)</f>
        <v>163.43253333333331</v>
      </c>
      <c r="E88" s="1068"/>
      <c r="F88" s="1068">
        <f t="shared" ref="F88:G88" si="266">SUM(F61*F87)</f>
        <v>124.41476666666665</v>
      </c>
      <c r="G88" s="1068">
        <f t="shared" si="266"/>
        <v>174.94186666666667</v>
      </c>
      <c r="H88" s="1069"/>
      <c r="I88" s="1070">
        <f t="shared" ref="I88:J88" si="267">SUM(I61*I87)</f>
        <v>125.67533333333333</v>
      </c>
      <c r="J88" s="1070">
        <f t="shared" si="267"/>
        <v>136.851</v>
      </c>
      <c r="K88" s="1069"/>
      <c r="L88" s="1071">
        <f t="shared" ref="L88:M88" si="268">SUM(L61*L87)</f>
        <v>140.50399999999999</v>
      </c>
      <c r="M88" s="1071">
        <f t="shared" si="268"/>
        <v>126.04799999999997</v>
      </c>
      <c r="N88" s="1071"/>
      <c r="O88" s="1071">
        <f t="shared" ref="O88:Q88" si="269">SUM(O61*O87)</f>
        <v>135.58999999999997</v>
      </c>
      <c r="P88" s="1071">
        <f t="shared" si="269"/>
        <v>179.22666666666669</v>
      </c>
      <c r="Q88" s="1071">
        <f t="shared" si="269"/>
        <v>175.32666666666665</v>
      </c>
      <c r="R88" s="1071"/>
      <c r="S88" s="1071">
        <f t="shared" ref="S88:T88" si="270">SUM(S61*S87)</f>
        <v>165.16499999999996</v>
      </c>
      <c r="T88" s="1071">
        <f t="shared" si="270"/>
        <v>270.97719999999998</v>
      </c>
      <c r="U88" s="1065"/>
      <c r="V88" s="1106">
        <f>AVERAGE(C88,F88)</f>
        <v>132.17424999999997</v>
      </c>
      <c r="W88" s="1106">
        <f>AVERAGE(D88,G88)</f>
        <v>169.18719999999999</v>
      </c>
      <c r="X88" s="1106">
        <f t="shared" ref="X88:Y88" si="271">I88</f>
        <v>125.67533333333333</v>
      </c>
      <c r="Y88" s="1106">
        <f t="shared" si="271"/>
        <v>136.851</v>
      </c>
      <c r="AB88" s="1076">
        <f t="shared" ref="AB88" si="272">V88</f>
        <v>132.17424999999997</v>
      </c>
      <c r="AC88" s="1076">
        <f t="shared" ref="AC88" si="273">AVERAGE((W88-V88),(S88-W88))</f>
        <v>16.495374999999996</v>
      </c>
      <c r="AD88" s="1076">
        <f t="shared" ref="AD88" si="274">MAX(0,(AVERAGE(L88-V88,(M88-L88),(O88-W88),(P88-O88),(Q88-P88),(T88-S88))))</f>
        <v>17.637569444444448</v>
      </c>
      <c r="AE88" s="1070">
        <v>0</v>
      </c>
      <c r="AF88" s="1070">
        <f>SUM(AJ88+AC88*$AF$49)</f>
        <v>132.17424999999997</v>
      </c>
      <c r="AG88" s="1070">
        <f>SUM(AJ88+AC88*$AG$49)</f>
        <v>148.66962499999997</v>
      </c>
      <c r="AH88" s="1070">
        <f>SUM(AJ88+AC88*$AH$49)</f>
        <v>165.16499999999996</v>
      </c>
      <c r="AI88" s="1070">
        <f>SUM(AJ88+AC88*$AI$49)</f>
        <v>181.66037499999996</v>
      </c>
      <c r="AJ88" s="1076">
        <f t="shared" ref="AJ88" si="275">SUM(AB88-AC88)</f>
        <v>115.67887499999998</v>
      </c>
      <c r="AK88" s="1069"/>
      <c r="AL88" s="1090">
        <f>X88</f>
        <v>125.67533333333333</v>
      </c>
      <c r="AM88" s="1090">
        <f t="shared" ref="AM88" si="276">AVERAGE((Y88-I88),(S88-J88))</f>
        <v>19.744833333333318</v>
      </c>
      <c r="AN88" s="1090">
        <f t="shared" ref="AN88" si="277">MAX(0,(AVERAGE(L88-I88,(M88-L88),(O88-J88),(P88-O88),(Q88-P88),(T88-S88))))</f>
        <v>24.110088888888885</v>
      </c>
      <c r="AO88" s="1070">
        <v>0</v>
      </c>
      <c r="AP88" s="1070">
        <f>SUM(AT88+AM88*$AP$49)</f>
        <v>125.67533333333333</v>
      </c>
      <c r="AQ88" s="1070">
        <f>SUM(AT88+AM88*$AQ$49)</f>
        <v>145.42016666666666</v>
      </c>
      <c r="AR88" s="1070">
        <f>SUM(AT88+AM88*$AR$49)</f>
        <v>165.16499999999996</v>
      </c>
      <c r="AS88" s="1070">
        <f>SUM(AT88+AM88*$AS$49)</f>
        <v>184.90983333333327</v>
      </c>
      <c r="AT88" s="1091">
        <f>SUM(AL88-AM88)</f>
        <v>105.93050000000001</v>
      </c>
    </row>
    <row r="89" spans="1:46">
      <c r="A89" s="1039" t="s">
        <v>968</v>
      </c>
      <c r="U89" s="1065"/>
      <c r="AB89" s="1076"/>
      <c r="AC89" s="1076"/>
      <c r="AD89" s="1076"/>
      <c r="AE89" s="1114">
        <v>0</v>
      </c>
      <c r="AF89" s="1114">
        <f>SUM(AD88)*$AF$51</f>
        <v>17.637569444444448</v>
      </c>
      <c r="AG89" s="1114">
        <f>SUM(AD88)*$AG$51</f>
        <v>35.275138888888897</v>
      </c>
      <c r="AH89" s="1114">
        <f>SUM(AD88)*$AH$51</f>
        <v>52.912708333333342</v>
      </c>
      <c r="AI89" s="1114">
        <f>SUM(AD88)*$AI$51</f>
        <v>70.550277777777794</v>
      </c>
      <c r="AJ89" s="1076"/>
      <c r="AK89" s="1069"/>
      <c r="AL89" s="1090"/>
      <c r="AM89" s="1090"/>
      <c r="AN89" s="1090"/>
      <c r="AO89" s="1114">
        <v>0</v>
      </c>
      <c r="AP89" s="1114">
        <f>SUM(AN88*$AP$4)</f>
        <v>24.110088888888885</v>
      </c>
      <c r="AQ89" s="1114">
        <f>SUM(AN88*$AQ$4)</f>
        <v>48.220177777777771</v>
      </c>
      <c r="AR89" s="1114">
        <f>SUM(AN88*$AR$4)</f>
        <v>72.33026666666666</v>
      </c>
      <c r="AS89" s="1114">
        <f>SUM(AN88*$AS$4)</f>
        <v>96.440355555555541</v>
      </c>
      <c r="AT89" s="1091"/>
    </row>
    <row r="90" spans="1:46">
      <c r="D90" s="1318"/>
      <c r="E90" s="1318"/>
      <c r="U90" s="1065"/>
      <c r="AE90" s="1089"/>
      <c r="AF90" s="1089"/>
      <c r="AG90" s="1089"/>
      <c r="AH90" s="1089"/>
      <c r="AI90" s="1089"/>
      <c r="AO90" s="1069"/>
      <c r="AP90" s="1089"/>
      <c r="AQ90" s="1089"/>
      <c r="AR90" s="1089"/>
      <c r="AS90" s="1089"/>
    </row>
    <row r="91" spans="1:46">
      <c r="U91" s="1065"/>
    </row>
    <row r="92" spans="1:46">
      <c r="D92" s="1318"/>
      <c r="E92" s="1318"/>
      <c r="U92" s="1065"/>
    </row>
    <row r="93" spans="1:46">
      <c r="C93" s="1127" t="s">
        <v>972</v>
      </c>
      <c r="U93" s="1065"/>
    </row>
    <row r="94" spans="1:46">
      <c r="D94" s="1318"/>
      <c r="E94" s="1318"/>
      <c r="U94" s="1065"/>
    </row>
    <row r="95" spans="1:46">
      <c r="J95" s="1128" t="s">
        <v>973</v>
      </c>
      <c r="K95" s="1115"/>
      <c r="L95" s="1115"/>
      <c r="M95" s="1115"/>
      <c r="U95" s="1065"/>
    </row>
    <row r="96" spans="1:46">
      <c r="D96" s="1318"/>
      <c r="E96" s="1318"/>
      <c r="J96" s="1115"/>
      <c r="K96" s="1115"/>
      <c r="L96" s="1115"/>
      <c r="M96" s="1115"/>
      <c r="U96" s="1065"/>
    </row>
    <row r="97" spans="1:31">
      <c r="F97" s="1039" t="s">
        <v>974</v>
      </c>
      <c r="G97" s="1129" t="str">
        <f>'Occupy borrower Affordability'!J30</f>
        <v>No</v>
      </c>
      <c r="J97" s="1115" t="str">
        <f>IF(G97="Yes"," retired adults and ",IF(G97="No"," adults and "))</f>
        <v xml:space="preserve"> adults and </v>
      </c>
      <c r="K97" s="1115"/>
      <c r="L97" s="1115"/>
      <c r="M97" s="1115"/>
      <c r="U97" s="1065"/>
    </row>
    <row r="98" spans="1:31">
      <c r="D98" s="1318"/>
      <c r="E98" s="1318"/>
      <c r="J98" s="1115"/>
      <c r="K98" s="1115"/>
      <c r="L98" s="1115"/>
      <c r="M98" s="1115"/>
      <c r="U98" s="1065"/>
    </row>
    <row r="99" spans="1:31">
      <c r="F99" s="1039" t="s">
        <v>975</v>
      </c>
      <c r="G99" s="1130">
        <f>'Income &amp; Committed Expenditure'!J12</f>
        <v>2</v>
      </c>
      <c r="J99" s="1115" t="str">
        <f>IF(G99="","Please complete adult details",IF(G99=0,"Please complete adult details",IF(G99&gt;0,G99&amp;J97&amp; G101&amp;J101)))</f>
        <v>2 adults and 0 children</v>
      </c>
      <c r="K99" s="1115"/>
      <c r="L99" s="1115"/>
      <c r="M99" s="1115"/>
      <c r="U99" s="1065"/>
    </row>
    <row r="100" spans="1:31">
      <c r="D100" s="1318"/>
      <c r="E100" s="1318"/>
      <c r="J100" s="1115"/>
      <c r="K100" s="1115"/>
      <c r="L100" s="1115"/>
      <c r="M100" s="1115"/>
      <c r="U100" s="1065"/>
    </row>
    <row r="101" spans="1:31">
      <c r="F101" s="1039" t="s">
        <v>976</v>
      </c>
      <c r="G101" s="1130">
        <f>'Income &amp; Committed Expenditure'!J13</f>
        <v>0</v>
      </c>
      <c r="J101" s="1115" t="str">
        <f>IF(G101=0," children",IF(G101=1," child",IF(G101&gt;1," children")))</f>
        <v xml:space="preserve"> children</v>
      </c>
      <c r="K101" s="1115"/>
      <c r="L101" s="1115"/>
      <c r="M101" s="1115"/>
      <c r="U101" s="1065"/>
    </row>
    <row r="102" spans="1:31">
      <c r="D102" s="1318"/>
      <c r="E102" s="1318"/>
      <c r="U102" s="1065"/>
    </row>
    <row r="103" spans="1:31">
      <c r="U103" s="1065"/>
      <c r="W103" s="1050"/>
    </row>
    <row r="104" spans="1:31">
      <c r="U104" s="1065"/>
      <c r="W104" s="1127" t="s">
        <v>972</v>
      </c>
    </row>
    <row r="105" spans="1:31">
      <c r="C105" s="1329" t="s">
        <v>977</v>
      </c>
      <c r="D105" s="1329"/>
      <c r="E105" s="1329"/>
      <c r="F105" s="1329"/>
      <c r="G105" s="1329"/>
      <c r="H105" s="1329"/>
      <c r="J105" s="1331" t="s">
        <v>978</v>
      </c>
      <c r="K105" s="1331"/>
      <c r="L105" s="1331"/>
      <c r="M105" s="1331"/>
      <c r="N105" s="1331"/>
      <c r="O105" s="1331"/>
      <c r="Q105" s="1332" t="s">
        <v>979</v>
      </c>
      <c r="R105" s="1332"/>
      <c r="S105" s="1332"/>
      <c r="T105" s="1332"/>
      <c r="U105" s="1065"/>
    </row>
    <row r="106" spans="1:31">
      <c r="A106" s="1131" t="s">
        <v>998</v>
      </c>
      <c r="C106" s="1132" t="s">
        <v>975</v>
      </c>
      <c r="D106" s="1132" t="s">
        <v>976</v>
      </c>
      <c r="E106" s="1066"/>
      <c r="F106" s="1133" t="s">
        <v>980</v>
      </c>
      <c r="G106" s="1066"/>
      <c r="H106" s="1066"/>
      <c r="J106" s="1134" t="s">
        <v>975</v>
      </c>
      <c r="K106" s="1062"/>
      <c r="L106" s="1134" t="s">
        <v>976</v>
      </c>
      <c r="M106" s="1135" t="s">
        <v>980</v>
      </c>
      <c r="N106" s="1062"/>
      <c r="O106" s="1062"/>
      <c r="Q106" s="1332" t="s">
        <v>980</v>
      </c>
      <c r="R106" s="1332"/>
      <c r="S106" s="1332"/>
      <c r="T106" s="1136"/>
      <c r="U106" s="1065"/>
      <c r="W106" s="1046"/>
    </row>
    <row r="107" spans="1:31">
      <c r="A107" s="1046"/>
      <c r="C107" s="1132"/>
      <c r="D107" s="1066"/>
      <c r="E107" s="1066"/>
      <c r="F107" s="1132"/>
      <c r="G107" s="1133"/>
      <c r="H107" s="1066"/>
      <c r="J107" s="1134"/>
      <c r="K107" s="1062"/>
      <c r="L107" s="1134"/>
      <c r="M107" s="1135"/>
      <c r="N107" s="1062"/>
      <c r="O107" s="1062"/>
      <c r="Q107" s="1136"/>
      <c r="R107" s="1136"/>
      <c r="S107" s="1137"/>
      <c r="T107" s="1138" t="str">
        <f>IF($G$97="Yes","Retired",IF($G$97="No","Non-retired"))</f>
        <v>Non-retired</v>
      </c>
      <c r="U107" s="1065"/>
      <c r="W107" s="1139" t="str">
        <f>T107</f>
        <v>Non-retired</v>
      </c>
      <c r="X107" s="1140" t="s">
        <v>981</v>
      </c>
      <c r="Y107" s="1140"/>
      <c r="Z107" s="1140"/>
      <c r="AA107" s="1140"/>
      <c r="AC107" s="1141" t="s">
        <v>982</v>
      </c>
      <c r="AD107" s="1121"/>
      <c r="AE107" s="1121"/>
    </row>
    <row r="108" spans="1:31">
      <c r="A108" s="1046"/>
      <c r="C108" s="1142">
        <f>$G$99</f>
        <v>2</v>
      </c>
      <c r="D108" s="1142">
        <f>$G$101</f>
        <v>0</v>
      </c>
      <c r="E108" s="1066"/>
      <c r="F108" s="1132" t="s">
        <v>13</v>
      </c>
      <c r="G108" s="1132" t="s">
        <v>7</v>
      </c>
      <c r="H108" s="1066"/>
      <c r="J108" s="1143">
        <f>$G$99</f>
        <v>2</v>
      </c>
      <c r="K108" s="1062"/>
      <c r="L108" s="1143">
        <f>$G$101</f>
        <v>0</v>
      </c>
      <c r="M108" s="1134" t="s">
        <v>13</v>
      </c>
      <c r="N108" s="1062"/>
      <c r="O108" s="1134" t="s">
        <v>7</v>
      </c>
      <c r="Q108" s="1144" t="s">
        <v>13</v>
      </c>
      <c r="R108" s="1136"/>
      <c r="S108" s="1144" t="s">
        <v>7</v>
      </c>
      <c r="T108" s="1136"/>
      <c r="U108" s="1065"/>
      <c r="W108" s="1145" t="s">
        <v>983</v>
      </c>
      <c r="X108" s="1140"/>
      <c r="Y108" s="1140"/>
      <c r="Z108" s="1140"/>
      <c r="AA108" s="1146" t="s">
        <v>7</v>
      </c>
      <c r="AC108" s="1147" t="s">
        <v>7</v>
      </c>
      <c r="AD108" s="1121"/>
      <c r="AE108" s="1141" t="s">
        <v>5</v>
      </c>
    </row>
    <row r="109" spans="1:31">
      <c r="C109" s="1132"/>
      <c r="D109" s="1133"/>
      <c r="E109" s="1066"/>
      <c r="F109" s="1133"/>
      <c r="G109" s="1133"/>
      <c r="H109" s="1066"/>
      <c r="J109" s="1134"/>
      <c r="K109" s="1062"/>
      <c r="L109" s="1135"/>
      <c r="M109" s="1135"/>
      <c r="N109" s="1062"/>
      <c r="O109" s="1062"/>
      <c r="Q109" s="1137"/>
      <c r="R109" s="1136"/>
      <c r="S109" s="1136"/>
      <c r="T109" s="1136"/>
      <c r="U109" s="1065"/>
      <c r="W109" s="1140"/>
      <c r="X109" s="1140"/>
      <c r="Y109" s="1140"/>
      <c r="Z109" s="1140"/>
      <c r="AA109" s="1140"/>
      <c r="AC109" s="1121"/>
      <c r="AD109" s="1121"/>
      <c r="AE109" s="1121"/>
    </row>
    <row r="110" spans="1:31">
      <c r="A110" s="1318" t="s">
        <v>947</v>
      </c>
      <c r="B110" s="1318"/>
      <c r="C110" s="1148">
        <f>LOOKUP($G$99,$AE$2:$AI$2,AE9:AI9)</f>
        <v>61.325000000000003</v>
      </c>
      <c r="D110" s="1148">
        <f>LOOKUP($G$101,$AE$4:$AI$4,AE10:AI10)</f>
        <v>0</v>
      </c>
      <c r="E110" s="1066"/>
      <c r="F110" s="1148">
        <f>SUM(C110+D110)</f>
        <v>61.325000000000003</v>
      </c>
      <c r="G110" s="1148">
        <f>SUM(F110*52)/12</f>
        <v>265.74166666666667</v>
      </c>
      <c r="H110" s="1066"/>
      <c r="J110" s="1149">
        <f>LOOKUP($G$99,$AO$2:$AS$2,AO9:AS9)</f>
        <v>60.7</v>
      </c>
      <c r="K110" s="1062"/>
      <c r="L110" s="1149">
        <f>LOOKUP($G$101,$AO$4:$AS$4,AO10:AS10)</f>
        <v>0</v>
      </c>
      <c r="M110" s="1149">
        <f>SUM(J110+L110)</f>
        <v>60.7</v>
      </c>
      <c r="N110" s="1062"/>
      <c r="O110" s="1149">
        <f>SUM(M110*52)/12</f>
        <v>263.03333333333336</v>
      </c>
      <c r="Q110" s="1150">
        <f>IF($G$97="Yes",F110,IF($G$97="No",M110))</f>
        <v>60.7</v>
      </c>
      <c r="R110" s="1136"/>
      <c r="S110" s="1150">
        <f>SUM(Q110*52)/12</f>
        <v>263.03333333333336</v>
      </c>
      <c r="T110" s="1136">
        <f>SUM(S110/Q110)</f>
        <v>4.3333333333333339</v>
      </c>
      <c r="U110" s="1065"/>
      <c r="W110" s="1140" t="s">
        <v>984</v>
      </c>
      <c r="X110" s="1140"/>
      <c r="Y110" s="1140"/>
      <c r="Z110" s="1140"/>
      <c r="AA110" s="1151">
        <f>IF($G$99=0,0,S110)</f>
        <v>263.03333333333336</v>
      </c>
      <c r="AC110" s="1068">
        <f>IF($G$99=0,0,Q152)</f>
        <v>263.0333333333333</v>
      </c>
      <c r="AD110" s="1068"/>
      <c r="AE110" s="1068">
        <f>SUM(AC110*12)</f>
        <v>3156.3999999999996</v>
      </c>
    </row>
    <row r="111" spans="1:31">
      <c r="C111" s="1148"/>
      <c r="D111" s="1148"/>
      <c r="E111" s="1066"/>
      <c r="F111" s="1148"/>
      <c r="G111" s="1148"/>
      <c r="H111" s="1066"/>
      <c r="J111" s="1149"/>
      <c r="K111" s="1062"/>
      <c r="L111" s="1149"/>
      <c r="M111" s="1149"/>
      <c r="N111" s="1062"/>
      <c r="O111" s="1149"/>
      <c r="Q111" s="1150"/>
      <c r="R111" s="1136"/>
      <c r="S111" s="1150"/>
      <c r="T111" s="1136"/>
      <c r="U111" s="1065"/>
      <c r="W111" s="1140"/>
      <c r="X111" s="1140"/>
      <c r="Y111" s="1140"/>
      <c r="Z111" s="1140"/>
      <c r="AA111" s="1151"/>
      <c r="AC111" s="1068"/>
      <c r="AD111" s="1068"/>
      <c r="AE111" s="1068"/>
    </row>
    <row r="112" spans="1:31">
      <c r="A112" s="1318" t="s">
        <v>949</v>
      </c>
      <c r="B112" s="1318"/>
      <c r="C112" s="1148">
        <f>LOOKUP($G$99,$AE$2:$AI$2,AE11:AI11)</f>
        <v>12.225</v>
      </c>
      <c r="D112" s="1148">
        <f>LOOKUP($G$101,$AE$4:$AI$4,AE12:AI12)</f>
        <v>0</v>
      </c>
      <c r="E112" s="1066"/>
      <c r="F112" s="1148">
        <f>SUM(C112+D112)</f>
        <v>12.225</v>
      </c>
      <c r="G112" s="1148">
        <f t="shared" ref="G112:G144" si="278">SUM(F112*52)/12</f>
        <v>52.974999999999994</v>
      </c>
      <c r="H112" s="1066"/>
      <c r="J112" s="1149">
        <f>LOOKUP($G$99,$AO$2:$AS$2,AO11:AS11)</f>
        <v>13.95</v>
      </c>
      <c r="K112" s="1062"/>
      <c r="L112" s="1149">
        <f>LOOKUP($G$101,$AO$4:$AS$4,AO12:AS12)</f>
        <v>0</v>
      </c>
      <c r="M112" s="1149">
        <f>SUM(J112+L112)</f>
        <v>13.95</v>
      </c>
      <c r="N112" s="1062"/>
      <c r="O112" s="1149">
        <f t="shared" ref="O112:O132" si="279">SUM(M112*52)/12</f>
        <v>60.449999999999996</v>
      </c>
      <c r="Q112" s="1150">
        <f>IF($G$97="Yes",F112,IF($G$97="No",M112))</f>
        <v>13.95</v>
      </c>
      <c r="R112" s="1136"/>
      <c r="S112" s="1150">
        <f>SUM(Q112*52)/12</f>
        <v>60.449999999999996</v>
      </c>
      <c r="T112" s="1136" t="s">
        <v>565</v>
      </c>
      <c r="U112" s="1065"/>
      <c r="W112" s="1140" t="s">
        <v>985</v>
      </c>
      <c r="X112" s="1140"/>
      <c r="Y112" s="1140"/>
      <c r="Z112" s="1140"/>
      <c r="AA112" s="1151">
        <f>IF($G$99=0,0,S114)</f>
        <v>87.100000000000009</v>
      </c>
      <c r="AC112" s="1068">
        <f>IF($G$99=0,0,Q156)</f>
        <v>87.1</v>
      </c>
      <c r="AD112" s="1068"/>
      <c r="AE112" s="1068">
        <f t="shared" ref="AE112:AE126" si="280">SUM(AC112*12)</f>
        <v>1045.1999999999998</v>
      </c>
    </row>
    <row r="113" spans="1:31">
      <c r="C113" s="1148"/>
      <c r="D113" s="1148"/>
      <c r="E113" s="1066"/>
      <c r="F113" s="1148"/>
      <c r="G113" s="1148"/>
      <c r="H113" s="1066"/>
      <c r="J113" s="1149"/>
      <c r="K113" s="1062"/>
      <c r="L113" s="1149"/>
      <c r="M113" s="1149"/>
      <c r="N113" s="1062"/>
      <c r="O113" s="1149"/>
      <c r="Q113" s="1150"/>
      <c r="R113" s="1136"/>
      <c r="S113" s="1150"/>
      <c r="T113" s="1136"/>
      <c r="U113" s="1065"/>
      <c r="W113" s="1140"/>
      <c r="X113" s="1140"/>
      <c r="Y113" s="1140"/>
      <c r="Z113" s="1140"/>
      <c r="AA113" s="1151"/>
      <c r="AC113" s="1068"/>
      <c r="AD113" s="1068"/>
      <c r="AE113" s="1068"/>
    </row>
    <row r="114" spans="1:31">
      <c r="A114" s="1318" t="s">
        <v>950</v>
      </c>
      <c r="B114" s="1318"/>
      <c r="C114" s="1148">
        <f>LOOKUP($G$99,$AE$2:$AI$2,AE13:AI13)</f>
        <v>18.2</v>
      </c>
      <c r="D114" s="1148">
        <f>LOOKUP($G$101,$AE$4:$AI$4,AE14:AI14)</f>
        <v>0</v>
      </c>
      <c r="E114" s="1066"/>
      <c r="F114" s="1148">
        <f>SUM(C114+D114)</f>
        <v>18.2</v>
      </c>
      <c r="G114" s="1148">
        <f t="shared" si="278"/>
        <v>78.86666666666666</v>
      </c>
      <c r="H114" s="1066"/>
      <c r="J114" s="1149">
        <f>LOOKUP($G$99,$AO$2:$AS$2,AO13:AS13)</f>
        <v>20.100000000000001</v>
      </c>
      <c r="K114" s="1062"/>
      <c r="L114" s="1149">
        <f>LOOKUP($G$101,$AO$4:$AS$4,AO14:AS14)</f>
        <v>0</v>
      </c>
      <c r="M114" s="1149">
        <f>SUM(J114+L114)</f>
        <v>20.100000000000001</v>
      </c>
      <c r="N114" s="1062"/>
      <c r="O114" s="1149">
        <f t="shared" si="279"/>
        <v>87.100000000000009</v>
      </c>
      <c r="Q114" s="1150">
        <f>IF($G$97="Yes",F114,IF($G$97="No",M114))</f>
        <v>20.100000000000001</v>
      </c>
      <c r="R114" s="1136"/>
      <c r="S114" s="1150">
        <f>SUM(Q114*52)/12</f>
        <v>87.100000000000009</v>
      </c>
      <c r="T114" s="1136"/>
      <c r="U114" s="1065"/>
      <c r="W114" s="1140" t="s">
        <v>986</v>
      </c>
      <c r="X114" s="1140"/>
      <c r="Y114" s="1140"/>
      <c r="Z114" s="1140"/>
      <c r="AA114" s="1151">
        <f>IF($G$99=0,0,S140)</f>
        <v>145.42016666666669</v>
      </c>
      <c r="AC114" s="1068">
        <f>IF($G$99=0,0,Q182)</f>
        <v>145.42016666666666</v>
      </c>
      <c r="AD114" s="1068"/>
      <c r="AE114" s="1068">
        <f t="shared" si="280"/>
        <v>1745.0419999999999</v>
      </c>
    </row>
    <row r="115" spans="1:31">
      <c r="C115" s="1148"/>
      <c r="D115" s="1148"/>
      <c r="E115" s="1066"/>
      <c r="F115" s="1148"/>
      <c r="G115" s="1148"/>
      <c r="H115" s="1066"/>
      <c r="J115" s="1149"/>
      <c r="K115" s="1062"/>
      <c r="L115" s="1149"/>
      <c r="M115" s="1149"/>
      <c r="N115" s="1062"/>
      <c r="O115" s="1149"/>
      <c r="Q115" s="1150"/>
      <c r="R115" s="1136"/>
      <c r="S115" s="1150"/>
      <c r="T115" s="1136"/>
      <c r="U115" s="1065"/>
      <c r="W115" s="1152"/>
      <c r="X115" s="1152"/>
      <c r="Y115" s="1140"/>
      <c r="Z115" s="1140"/>
      <c r="AA115" s="1151"/>
      <c r="AC115" s="1068"/>
      <c r="AD115" s="1068"/>
      <c r="AE115" s="1068"/>
    </row>
    <row r="116" spans="1:31">
      <c r="A116" s="1318" t="s">
        <v>951</v>
      </c>
      <c r="B116" s="1318"/>
      <c r="C116" s="1148">
        <f>LOOKUP($G$99,$AE$2:$AI$2,AE15:AI15)</f>
        <v>77.625</v>
      </c>
      <c r="D116" s="1148">
        <f>LOOKUP($G$101,$AE$4:$AI$4,AE16:AI16)</f>
        <v>0</v>
      </c>
      <c r="E116" s="1066"/>
      <c r="F116" s="1148">
        <f>SUM(C116+D116)</f>
        <v>77.625</v>
      </c>
      <c r="G116" s="1148">
        <f t="shared" si="278"/>
        <v>336.375</v>
      </c>
      <c r="H116" s="1066"/>
      <c r="J116" s="1149">
        <f>LOOKUP($G$99,$AO$2:$AS$2,AO15:AS15)</f>
        <v>95.149999999999991</v>
      </c>
      <c r="K116" s="1062"/>
      <c r="L116" s="1149">
        <f>LOOKUP($G$101,$AO$4:$AS$4,AO16:AS16)</f>
        <v>0</v>
      </c>
      <c r="M116" s="1149">
        <f>SUM(J116+L116)</f>
        <v>95.149999999999991</v>
      </c>
      <c r="N116" s="1062"/>
      <c r="O116" s="1149">
        <f t="shared" si="279"/>
        <v>412.31666666666661</v>
      </c>
      <c r="Q116" s="1150">
        <f>IF($G$97="Yes",F116,IF($G$97="No",M116))</f>
        <v>95.149999999999991</v>
      </c>
      <c r="R116" s="1136"/>
      <c r="S116" s="1150">
        <f>SUM(Q116*52)/12</f>
        <v>412.31666666666661</v>
      </c>
      <c r="T116" s="1136" t="s">
        <v>565</v>
      </c>
      <c r="U116" s="1065"/>
      <c r="W116" s="1140" t="s">
        <v>987</v>
      </c>
      <c r="X116" s="1140"/>
      <c r="Y116" s="1140"/>
      <c r="Z116" s="1140"/>
      <c r="AA116" s="1151">
        <f>IF($G$99=0,0,S118)</f>
        <v>162.71666666666667</v>
      </c>
      <c r="AC116" s="1068">
        <f>IF($G$99=0,0,Q160)</f>
        <v>162.71666666666664</v>
      </c>
      <c r="AD116" s="1068"/>
      <c r="AE116" s="1068">
        <f t="shared" si="280"/>
        <v>1952.5999999999997</v>
      </c>
    </row>
    <row r="117" spans="1:31">
      <c r="A117" s="1067"/>
      <c r="B117" s="1067"/>
      <c r="C117" s="1148"/>
      <c r="D117" s="1148"/>
      <c r="E117" s="1066"/>
      <c r="F117" s="1148"/>
      <c r="G117" s="1148"/>
      <c r="H117" s="1066"/>
      <c r="J117" s="1149"/>
      <c r="K117" s="1062"/>
      <c r="L117" s="1149"/>
      <c r="M117" s="1149"/>
      <c r="N117" s="1062"/>
      <c r="O117" s="1149"/>
      <c r="Q117" s="1150"/>
      <c r="R117" s="1136"/>
      <c r="S117" s="1150"/>
      <c r="T117" s="1136"/>
      <c r="U117" s="1065"/>
      <c r="W117" s="1140"/>
      <c r="X117" s="1140"/>
      <c r="Y117" s="1140"/>
      <c r="Z117" s="1140"/>
      <c r="AA117" s="1151"/>
      <c r="AC117" s="1068"/>
      <c r="AD117" s="1068"/>
      <c r="AE117" s="1068"/>
    </row>
    <row r="118" spans="1:31">
      <c r="A118" s="1318" t="s">
        <v>952</v>
      </c>
      <c r="B118" s="1318"/>
      <c r="C118" s="1148">
        <f>LOOKUP($G$99,$AE$2:$AI$2,AE17:AI17)</f>
        <v>34.424999999999997</v>
      </c>
      <c r="D118" s="1148">
        <f>LOOKUP($G$101,$AE$4:$AI$4,AE18:AI18)</f>
        <v>0</v>
      </c>
      <c r="E118" s="1066"/>
      <c r="F118" s="1148">
        <f>SUM(C118+D118)</f>
        <v>34.424999999999997</v>
      </c>
      <c r="G118" s="1148">
        <f t="shared" si="278"/>
        <v>149.17499999999998</v>
      </c>
      <c r="H118" s="1066"/>
      <c r="J118" s="1149">
        <f>LOOKUP($G$99,$AO$2:$AS$2,AO17:AS17)</f>
        <v>37.549999999999997</v>
      </c>
      <c r="K118" s="1062"/>
      <c r="L118" s="1149">
        <f>LOOKUP($G$101,$AO$4:$AS$4,AO18:AS18)</f>
        <v>0</v>
      </c>
      <c r="M118" s="1149">
        <f>SUM(J118+L118)</f>
        <v>37.549999999999997</v>
      </c>
      <c r="N118" s="1062"/>
      <c r="O118" s="1149">
        <f t="shared" si="279"/>
        <v>162.71666666666667</v>
      </c>
      <c r="Q118" s="1150">
        <f>IF($G$97="Yes",F118,IF($G$97="No",M118))</f>
        <v>37.549999999999997</v>
      </c>
      <c r="R118" s="1136"/>
      <c r="S118" s="1150">
        <f>SUM(Q118*52)/12</f>
        <v>162.71666666666667</v>
      </c>
      <c r="T118" s="1136"/>
      <c r="U118" s="1065"/>
      <c r="W118" s="1140" t="s">
        <v>65</v>
      </c>
      <c r="X118" s="1140"/>
      <c r="Y118" s="1140"/>
      <c r="Z118" s="1140"/>
      <c r="AA118" s="1151">
        <f>IF($G$99=0,0,S120)</f>
        <v>46.15</v>
      </c>
      <c r="AC118" s="1068">
        <f>IF($G$99=0,0,Q162)</f>
        <v>46.149999999999991</v>
      </c>
      <c r="AD118" s="1068"/>
      <c r="AE118" s="1068">
        <f t="shared" si="280"/>
        <v>553.79999999999995</v>
      </c>
    </row>
    <row r="119" spans="1:31">
      <c r="C119" s="1148"/>
      <c r="D119" s="1148"/>
      <c r="E119" s="1066"/>
      <c r="F119" s="1148"/>
      <c r="G119" s="1148"/>
      <c r="H119" s="1066"/>
      <c r="J119" s="1149"/>
      <c r="K119" s="1062"/>
      <c r="L119" s="1149"/>
      <c r="M119" s="1149"/>
      <c r="N119" s="1062"/>
      <c r="O119" s="1149"/>
      <c r="Q119" s="1150"/>
      <c r="R119" s="1136"/>
      <c r="S119" s="1150"/>
      <c r="T119" s="1136"/>
      <c r="U119" s="1065"/>
      <c r="W119" s="1140"/>
      <c r="X119" s="1140"/>
      <c r="Y119" s="1140"/>
      <c r="Z119" s="1140"/>
      <c r="AA119" s="1151"/>
      <c r="AC119" s="1068"/>
      <c r="AD119" s="1068"/>
      <c r="AE119" s="1068"/>
    </row>
    <row r="120" spans="1:31">
      <c r="A120" s="1318" t="s">
        <v>953</v>
      </c>
      <c r="B120" s="1318"/>
      <c r="C120" s="1148">
        <f>LOOKUP($G$99,$AE$2:$AI$2,AE19:AI19)</f>
        <v>11.899999999999999</v>
      </c>
      <c r="D120" s="1148">
        <f>LOOKUP($G$101,$AE$4:$AI$4,AE20:AI20)</f>
        <v>0</v>
      </c>
      <c r="E120" s="1066"/>
      <c r="F120" s="1148">
        <f>SUM(C120+D120)</f>
        <v>11.899999999999999</v>
      </c>
      <c r="G120" s="1148">
        <f t="shared" si="278"/>
        <v>51.566666666666663</v>
      </c>
      <c r="H120" s="1066"/>
      <c r="J120" s="1149">
        <f>LOOKUP($G$99,$AO$2:$AS$2,AO19:AS19)</f>
        <v>10.649999999999999</v>
      </c>
      <c r="K120" s="1062"/>
      <c r="L120" s="1149">
        <f>LOOKUP($G$101,$AO$4:$AS$4,AO20:AS20)</f>
        <v>0</v>
      </c>
      <c r="M120" s="1149">
        <f>SUM(J120+L120)</f>
        <v>10.649999999999999</v>
      </c>
      <c r="N120" s="1062"/>
      <c r="O120" s="1149">
        <f t="shared" si="279"/>
        <v>46.15</v>
      </c>
      <c r="Q120" s="1150">
        <f>IF($G$97="Yes",F120,IF($G$97="No",M120))</f>
        <v>10.649999999999999</v>
      </c>
      <c r="R120" s="1136"/>
      <c r="S120" s="1150">
        <f>SUM(Q120*52)/12</f>
        <v>46.15</v>
      </c>
      <c r="T120" s="1136"/>
      <c r="U120" s="1065"/>
      <c r="W120" s="1140" t="s">
        <v>988</v>
      </c>
      <c r="X120" s="1140"/>
      <c r="Y120" s="1140"/>
      <c r="Z120" s="1140"/>
      <c r="AA120" s="1151">
        <f>IF($G$99=0,0,S142)</f>
        <v>124.35561666666665</v>
      </c>
      <c r="AC120" s="1068">
        <f>IF($G$99=0,0,Q184)</f>
        <v>124.35561666666665</v>
      </c>
      <c r="AD120" s="1068"/>
      <c r="AE120" s="1068">
        <f t="shared" si="280"/>
        <v>1492.2673999999997</v>
      </c>
    </row>
    <row r="121" spans="1:31">
      <c r="C121" s="1148"/>
      <c r="D121" s="1148"/>
      <c r="E121" s="1066"/>
      <c r="F121" s="1148"/>
      <c r="G121" s="1148"/>
      <c r="H121" s="1066"/>
      <c r="J121" s="1149"/>
      <c r="K121" s="1062"/>
      <c r="L121" s="1149"/>
      <c r="M121" s="1149"/>
      <c r="N121" s="1062"/>
      <c r="O121" s="1149"/>
      <c r="Q121" s="1150"/>
      <c r="R121" s="1136"/>
      <c r="S121" s="1150"/>
      <c r="T121" s="1136"/>
      <c r="U121" s="1065"/>
      <c r="W121" s="1140"/>
      <c r="X121" s="1140"/>
      <c r="Y121" s="1140"/>
      <c r="Z121" s="1140"/>
      <c r="AA121" s="1151"/>
      <c r="AC121" s="1068"/>
      <c r="AD121" s="1068"/>
      <c r="AE121" s="1068"/>
    </row>
    <row r="122" spans="1:31">
      <c r="A122" s="1318" t="s">
        <v>954</v>
      </c>
      <c r="B122" s="1318"/>
      <c r="C122" s="1148">
        <f>LOOKUP($G$99,$AE$2:$AI$2,AE21:AI21)</f>
        <v>72.05</v>
      </c>
      <c r="D122" s="1148">
        <f>LOOKUP($G$101,$AE$4:$AI$4,AE22:AI22)</f>
        <v>0</v>
      </c>
      <c r="E122" s="1066"/>
      <c r="F122" s="1148">
        <f>SUM(C122+D122)</f>
        <v>72.05</v>
      </c>
      <c r="G122" s="1148">
        <f t="shared" si="278"/>
        <v>312.21666666666664</v>
      </c>
      <c r="H122" s="1066"/>
      <c r="J122" s="1149">
        <f>LOOKUP($G$99,$AO$2:$AS$2,AO21:AS21)</f>
        <v>84.25</v>
      </c>
      <c r="K122" s="1062"/>
      <c r="L122" s="1149">
        <f>LOOKUP($G$101,$AO$4:$AS$4,AO22:AS22)</f>
        <v>0</v>
      </c>
      <c r="M122" s="1149">
        <f>SUM(J122+L122)</f>
        <v>84.25</v>
      </c>
      <c r="N122" s="1062"/>
      <c r="O122" s="1149">
        <f t="shared" si="279"/>
        <v>365.08333333333331</v>
      </c>
      <c r="Q122" s="1150">
        <f>IF($G$97="Yes",F122,IF($G$97="No",M122))</f>
        <v>84.25</v>
      </c>
      <c r="R122" s="1136"/>
      <c r="S122" s="1150">
        <f>SUM(Q122*52)/12</f>
        <v>365.08333333333331</v>
      </c>
      <c r="T122" s="1136" t="s">
        <v>565</v>
      </c>
      <c r="U122" s="1065"/>
      <c r="W122" s="1140" t="s">
        <v>84</v>
      </c>
      <c r="X122" s="1140"/>
      <c r="Y122" s="1140"/>
      <c r="Z122" s="1140"/>
      <c r="AA122" s="1151">
        <f>IF($G$99=0,0,S124)</f>
        <v>98.583333333333329</v>
      </c>
      <c r="AC122" s="1068">
        <f>IF($G$99=0,0,Q166)</f>
        <v>98.583333333333343</v>
      </c>
      <c r="AD122" s="1068"/>
      <c r="AE122" s="1068">
        <f t="shared" si="280"/>
        <v>1183</v>
      </c>
    </row>
    <row r="123" spans="1:31">
      <c r="C123" s="1148"/>
      <c r="D123" s="1148"/>
      <c r="E123" s="1066"/>
      <c r="F123" s="1148"/>
      <c r="G123" s="1148"/>
      <c r="H123" s="1066"/>
      <c r="J123" s="1149"/>
      <c r="K123" s="1062"/>
      <c r="L123" s="1149"/>
      <c r="M123" s="1149"/>
      <c r="N123" s="1062"/>
      <c r="O123" s="1149"/>
      <c r="Q123" s="1150"/>
      <c r="R123" s="1136"/>
      <c r="S123" s="1150"/>
      <c r="T123" s="1136"/>
      <c r="U123" s="1065"/>
      <c r="W123" s="1140"/>
      <c r="X123" s="1140"/>
      <c r="Y123" s="1140"/>
      <c r="Z123" s="1140"/>
      <c r="AA123" s="1151"/>
      <c r="AC123" s="1068"/>
      <c r="AD123" s="1068"/>
      <c r="AE123" s="1068"/>
    </row>
    <row r="124" spans="1:31">
      <c r="A124" s="1318" t="s">
        <v>955</v>
      </c>
      <c r="B124" s="1318"/>
      <c r="C124" s="1148">
        <f>LOOKUP($G$99,$AE$2:$AI$2,AE23:AI23)</f>
        <v>21.274999999999999</v>
      </c>
      <c r="D124" s="1148">
        <f>LOOKUP($G$101,$AE$4:$AI$4,AE24:AI24)</f>
        <v>0</v>
      </c>
      <c r="E124" s="1066"/>
      <c r="F124" s="1148">
        <f>SUM(C124+D124)</f>
        <v>21.274999999999999</v>
      </c>
      <c r="G124" s="1148">
        <f t="shared" si="278"/>
        <v>92.191666666666663</v>
      </c>
      <c r="H124" s="1066"/>
      <c r="J124" s="1149">
        <f>LOOKUP($G$99,$AO$2:$AS$2,AO23:AS23)</f>
        <v>22.75</v>
      </c>
      <c r="K124" s="1062"/>
      <c r="L124" s="1149">
        <f>LOOKUP($G$101,$AO$4:$AS$4,AO24:AS24)</f>
        <v>0</v>
      </c>
      <c r="M124" s="1149">
        <f>SUM(J124+L124)</f>
        <v>22.75</v>
      </c>
      <c r="N124" s="1062"/>
      <c r="O124" s="1149">
        <f t="shared" si="279"/>
        <v>98.583333333333329</v>
      </c>
      <c r="Q124" s="1150">
        <f>IF($G$97="Yes",F124,IF($G$97="No",M124))</f>
        <v>22.75</v>
      </c>
      <c r="R124" s="1136"/>
      <c r="S124" s="1150">
        <f>SUM(Q124*52)/12</f>
        <v>98.583333333333329</v>
      </c>
      <c r="T124" s="1136"/>
      <c r="U124" s="1065"/>
      <c r="W124" s="1140" t="s">
        <v>989</v>
      </c>
      <c r="X124" s="1140"/>
      <c r="Y124" s="1140"/>
      <c r="Z124" s="1140"/>
      <c r="AA124" s="1151">
        <f>IF($G$99=0,0,S126)</f>
        <v>279.5</v>
      </c>
      <c r="AC124" s="1068">
        <f>IF($G$99=0,0,Q168)</f>
        <v>279.5</v>
      </c>
      <c r="AD124" s="1068"/>
      <c r="AE124" s="1068">
        <f t="shared" si="280"/>
        <v>3354</v>
      </c>
    </row>
    <row r="125" spans="1:31">
      <c r="C125" s="1148"/>
      <c r="D125" s="1148"/>
      <c r="E125" s="1066"/>
      <c r="F125" s="1148"/>
      <c r="G125" s="1148"/>
      <c r="H125" s="1066"/>
      <c r="J125" s="1149"/>
      <c r="K125" s="1062"/>
      <c r="L125" s="1149"/>
      <c r="M125" s="1149"/>
      <c r="N125" s="1062"/>
      <c r="O125" s="1149"/>
      <c r="Q125" s="1150"/>
      <c r="R125" s="1136"/>
      <c r="S125" s="1150"/>
      <c r="T125" s="1136"/>
      <c r="U125" s="1065"/>
      <c r="W125" s="1140"/>
      <c r="X125" s="1140"/>
      <c r="Y125" s="1140"/>
      <c r="Z125" s="1140"/>
      <c r="AA125" s="1151"/>
      <c r="AC125" s="1068"/>
      <c r="AD125" s="1068"/>
      <c r="AE125" s="1068"/>
    </row>
    <row r="126" spans="1:31">
      <c r="A126" s="1318" t="s">
        <v>956</v>
      </c>
      <c r="B126" s="1318"/>
      <c r="C126" s="1148">
        <f>LOOKUP($G$99,$AE$2:$AI$2,AE25:AI25)</f>
        <v>53.85</v>
      </c>
      <c r="D126" s="1148">
        <f>LOOKUP($G$101,$AE$4:$AI$4,AE26:AI26)</f>
        <v>0</v>
      </c>
      <c r="E126" s="1066"/>
      <c r="F126" s="1148">
        <f>SUM(C126+D126)</f>
        <v>53.85</v>
      </c>
      <c r="G126" s="1148">
        <f t="shared" si="278"/>
        <v>233.35000000000002</v>
      </c>
      <c r="H126" s="1066"/>
      <c r="J126" s="1149">
        <f>LOOKUP($G$99,$AO$2:$AS$2,AO25:AS25)</f>
        <v>64.5</v>
      </c>
      <c r="K126" s="1062"/>
      <c r="L126" s="1149">
        <f>LOOKUP($G$101,$AO$4:$AS$4,AO26:AS26)</f>
        <v>0</v>
      </c>
      <c r="M126" s="1149">
        <f>SUM(J126+L126)</f>
        <v>64.5</v>
      </c>
      <c r="N126" s="1062"/>
      <c r="O126" s="1149">
        <f t="shared" si="279"/>
        <v>279.5</v>
      </c>
      <c r="Q126" s="1150">
        <f>IF($G$97="Yes",F126,IF($G$97="No",M126))</f>
        <v>64.5</v>
      </c>
      <c r="R126" s="1136"/>
      <c r="S126" s="1150">
        <f>SUM(Q126*52)/12</f>
        <v>279.5</v>
      </c>
      <c r="T126" s="1136"/>
      <c r="U126" s="1065"/>
      <c r="W126" s="1140" t="s">
        <v>990</v>
      </c>
      <c r="X126" s="1140"/>
      <c r="Y126" s="1140"/>
      <c r="Z126" s="1140"/>
      <c r="AA126" s="1151">
        <f>IF($G$99=0,0,S144)</f>
        <v>60.295516666666664</v>
      </c>
      <c r="AC126" s="1068">
        <f>IF($G$99=0,0,Q186)</f>
        <v>60.295516666666664</v>
      </c>
      <c r="AD126" s="1068"/>
      <c r="AE126" s="1068">
        <f t="shared" si="280"/>
        <v>723.5462</v>
      </c>
    </row>
    <row r="127" spans="1:31">
      <c r="C127" s="1148"/>
      <c r="D127" s="1148"/>
      <c r="E127" s="1066"/>
      <c r="F127" s="1148"/>
      <c r="G127" s="1148"/>
      <c r="H127" s="1066"/>
      <c r="J127" s="1149"/>
      <c r="K127" s="1062"/>
      <c r="L127" s="1149"/>
      <c r="M127" s="1149"/>
      <c r="N127" s="1062"/>
      <c r="O127" s="1149"/>
      <c r="Q127" s="1150"/>
      <c r="R127" s="1136"/>
      <c r="S127" s="1150"/>
      <c r="T127" s="1136"/>
      <c r="U127" s="1065"/>
      <c r="W127" s="1140"/>
      <c r="X127" s="1140"/>
      <c r="Y127" s="1140"/>
      <c r="Z127" s="1140"/>
      <c r="AA127" s="1151"/>
      <c r="AC127" s="1068"/>
      <c r="AD127" s="1068"/>
      <c r="AE127" s="1068"/>
    </row>
    <row r="128" spans="1:31" ht="13.8" thickBot="1">
      <c r="A128" s="1318" t="s">
        <v>957</v>
      </c>
      <c r="B128" s="1318"/>
      <c r="C128" s="1148">
        <f>LOOKUP($G$99,$AE$2:$AI$2,AE27:AI27)</f>
        <v>4.5</v>
      </c>
      <c r="D128" s="1148">
        <f>LOOKUP($G$101,$AE$4:$AI$4,AE28:AI28)</f>
        <v>0</v>
      </c>
      <c r="E128" s="1066"/>
      <c r="F128" s="1148">
        <f>SUM(C128+D128)</f>
        <v>4.5</v>
      </c>
      <c r="G128" s="1148">
        <f t="shared" si="278"/>
        <v>19.5</v>
      </c>
      <c r="H128" s="1066"/>
      <c r="J128" s="1149">
        <f>LOOKUP($G$99,$AO$2:$AS$2,AO27:AS27)</f>
        <v>6.4499999999999993</v>
      </c>
      <c r="K128" s="1062"/>
      <c r="L128" s="1149">
        <f>LOOKUP($G$101,$AO$4:$AS$4,AO28:AS28)</f>
        <v>0</v>
      </c>
      <c r="M128" s="1149">
        <f>SUM(J128+L128)</f>
        <v>6.4499999999999993</v>
      </c>
      <c r="N128" s="1062"/>
      <c r="O128" s="1149">
        <f t="shared" si="279"/>
        <v>27.95</v>
      </c>
      <c r="Q128" s="1150">
        <f>IF($G$97="Yes",F128,IF($G$97="No",M128))</f>
        <v>6.4499999999999993</v>
      </c>
      <c r="R128" s="1136"/>
      <c r="S128" s="1150">
        <f>SUM(Q128*52)/12</f>
        <v>27.95</v>
      </c>
      <c r="T128" s="1136" t="s">
        <v>565</v>
      </c>
      <c r="U128" s="1065"/>
      <c r="W128" s="1140"/>
      <c r="X128" s="1140"/>
      <c r="Y128" s="1140"/>
      <c r="Z128" s="1140" t="s">
        <v>2</v>
      </c>
      <c r="AA128" s="1153">
        <f>SUM(AA110:AA126)</f>
        <v>1267.1546333333333</v>
      </c>
      <c r="AC128" s="1154">
        <f t="shared" ref="AC128:AE128" si="281">SUM(AC110:AC126)</f>
        <v>1267.1546333333331</v>
      </c>
      <c r="AD128" s="1068"/>
      <c r="AE128" s="1154">
        <f t="shared" si="281"/>
        <v>15205.855599999999</v>
      </c>
    </row>
    <row r="129" spans="1:21" ht="13.8" thickTop="1">
      <c r="C129" s="1148"/>
      <c r="D129" s="1148"/>
      <c r="E129" s="1066"/>
      <c r="F129" s="1148"/>
      <c r="G129" s="1148"/>
      <c r="H129" s="1066"/>
      <c r="J129" s="1149"/>
      <c r="K129" s="1062"/>
      <c r="L129" s="1149"/>
      <c r="M129" s="1149"/>
      <c r="N129" s="1062"/>
      <c r="O129" s="1149"/>
      <c r="Q129" s="1150"/>
      <c r="R129" s="1136"/>
      <c r="S129" s="1150"/>
      <c r="T129" s="1136"/>
      <c r="U129" s="1065"/>
    </row>
    <row r="130" spans="1:21">
      <c r="A130" s="1318" t="s">
        <v>958</v>
      </c>
      <c r="B130" s="1318"/>
      <c r="C130" s="1148">
        <f>LOOKUP($G$99,$AE$2:$AI$2,AE29:AI29)</f>
        <v>33.725000000000001</v>
      </c>
      <c r="D130" s="1148">
        <f>LOOKUP($G$101,$AE$4:$AI$4,AE30:AI30)</f>
        <v>0</v>
      </c>
      <c r="E130" s="1066"/>
      <c r="F130" s="1148">
        <f>SUM(C130+D130)</f>
        <v>33.725000000000001</v>
      </c>
      <c r="G130" s="1148">
        <f t="shared" si="278"/>
        <v>146.14166666666668</v>
      </c>
      <c r="H130" s="1066"/>
      <c r="J130" s="1149">
        <f>LOOKUP($G$99,$AO$2:$AS$2,AO29:AS29)</f>
        <v>38.5</v>
      </c>
      <c r="K130" s="1062"/>
      <c r="L130" s="1149">
        <f>LOOKUP($G$101,$AO$4:$AS$4,AO30:AS30)</f>
        <v>0</v>
      </c>
      <c r="M130" s="1149">
        <f>SUM(J130+L130)</f>
        <v>38.5</v>
      </c>
      <c r="N130" s="1155"/>
      <c r="O130" s="1149">
        <f t="shared" si="279"/>
        <v>166.83333333333334</v>
      </c>
      <c r="Q130" s="1150">
        <f>IF($G$97="Yes",F130,IF($G$97="No",M130))</f>
        <v>38.5</v>
      </c>
      <c r="R130" s="1136"/>
      <c r="S130" s="1150">
        <f>SUM(Q130*52)/12</f>
        <v>166.83333333333334</v>
      </c>
      <c r="T130" s="1136" t="s">
        <v>565</v>
      </c>
      <c r="U130" s="1065"/>
    </row>
    <row r="131" spans="1:21">
      <c r="C131" s="1148"/>
      <c r="D131" s="1148"/>
      <c r="E131" s="1066"/>
      <c r="F131" s="1148"/>
      <c r="G131" s="1148"/>
      <c r="H131" s="1066"/>
      <c r="J131" s="1149"/>
      <c r="K131" s="1062"/>
      <c r="L131" s="1149"/>
      <c r="M131" s="1149"/>
      <c r="N131" s="1155"/>
      <c r="O131" s="1149"/>
      <c r="Q131" s="1150"/>
      <c r="R131" s="1136"/>
      <c r="S131" s="1150"/>
      <c r="T131" s="1136"/>
      <c r="U131" s="1065"/>
    </row>
    <row r="132" spans="1:21">
      <c r="A132" s="1318" t="s">
        <v>959</v>
      </c>
      <c r="B132" s="1318"/>
      <c r="C132" s="1148">
        <f>LOOKUP($G$99,$AE$2:$AI$2,AE31:AI31)</f>
        <v>39.75</v>
      </c>
      <c r="D132" s="1148">
        <f>LOOKUP($G$101,$AE$4:$AI$4,AE32:AI32)</f>
        <v>0</v>
      </c>
      <c r="E132" s="1066"/>
      <c r="F132" s="1148">
        <f>SUM(C132+D132)</f>
        <v>39.75</v>
      </c>
      <c r="G132" s="1148">
        <f t="shared" si="278"/>
        <v>172.25</v>
      </c>
      <c r="H132" s="1066"/>
      <c r="J132" s="1149">
        <f>LOOKUP($G$99,$AO$2:$AS$2,AO31:AS31)</f>
        <v>39</v>
      </c>
      <c r="K132" s="1062"/>
      <c r="L132" s="1149">
        <f>LOOKUP($G$101,$AO$4:$AS$4,AO32:AS32)</f>
        <v>0</v>
      </c>
      <c r="M132" s="1149">
        <f>SUM(J132+L132)</f>
        <v>39</v>
      </c>
      <c r="N132" s="1155"/>
      <c r="O132" s="1149">
        <f t="shared" si="279"/>
        <v>169</v>
      </c>
      <c r="Q132" s="1150">
        <f>IF($G$97="Yes",F132,IF($G$97="No",M132))</f>
        <v>39</v>
      </c>
      <c r="R132" s="1136"/>
      <c r="S132" s="1150">
        <f>SUM(Q132*52)/12</f>
        <v>169</v>
      </c>
      <c r="T132" s="1136" t="s">
        <v>565</v>
      </c>
      <c r="U132" s="1065"/>
    </row>
    <row r="133" spans="1:21">
      <c r="C133" s="1066"/>
      <c r="D133" s="1066"/>
      <c r="E133" s="1066"/>
      <c r="F133" s="1066"/>
      <c r="G133" s="1148"/>
      <c r="H133" s="1066"/>
      <c r="J133" s="1062"/>
      <c r="K133" s="1062"/>
      <c r="L133" s="1149"/>
      <c r="M133" s="1062"/>
      <c r="N133" s="1062"/>
      <c r="O133" s="1062"/>
      <c r="Q133" s="1136"/>
      <c r="R133" s="1150"/>
      <c r="S133" s="1136"/>
      <c r="T133" s="1136"/>
      <c r="U133" s="1065"/>
    </row>
    <row r="134" spans="1:21">
      <c r="G134" s="1156"/>
      <c r="R134" s="1156"/>
      <c r="U134" s="1065"/>
    </row>
    <row r="135" spans="1:21">
      <c r="C135" s="1329" t="s">
        <v>977</v>
      </c>
      <c r="D135" s="1329"/>
      <c r="E135" s="1329"/>
      <c r="F135" s="1329"/>
      <c r="G135" s="1329"/>
      <c r="H135" s="1329"/>
      <c r="J135" s="1331" t="s">
        <v>978</v>
      </c>
      <c r="K135" s="1331"/>
      <c r="L135" s="1331"/>
      <c r="M135" s="1331"/>
      <c r="N135" s="1331"/>
      <c r="O135" s="1331"/>
      <c r="Q135" s="1332" t="s">
        <v>979</v>
      </c>
      <c r="R135" s="1332"/>
      <c r="S135" s="1332"/>
      <c r="T135" s="1332"/>
      <c r="U135" s="1065"/>
    </row>
    <row r="136" spans="1:21">
      <c r="C136" s="1132" t="s">
        <v>975</v>
      </c>
      <c r="D136" s="1132" t="s">
        <v>976</v>
      </c>
      <c r="E136" s="1066"/>
      <c r="F136" s="1329" t="s">
        <v>980</v>
      </c>
      <c r="G136" s="1329"/>
      <c r="H136" s="1329"/>
      <c r="J136" s="1134" t="s">
        <v>975</v>
      </c>
      <c r="K136" s="1062"/>
      <c r="L136" s="1134" t="s">
        <v>976</v>
      </c>
      <c r="M136" s="1331" t="s">
        <v>980</v>
      </c>
      <c r="N136" s="1331"/>
      <c r="O136" s="1331"/>
      <c r="Q136" s="1332" t="s">
        <v>991</v>
      </c>
      <c r="R136" s="1332"/>
      <c r="S136" s="1332"/>
      <c r="T136" s="1136"/>
      <c r="U136" s="1065"/>
    </row>
    <row r="137" spans="1:21">
      <c r="A137" s="1046" t="s">
        <v>960</v>
      </c>
      <c r="C137" s="1066">
        <f>$G$99</f>
        <v>2</v>
      </c>
      <c r="D137" s="1066">
        <f>$G$101</f>
        <v>0</v>
      </c>
      <c r="E137" s="1066"/>
      <c r="F137" s="1132" t="s">
        <v>13</v>
      </c>
      <c r="G137" s="1157" t="s">
        <v>7</v>
      </c>
      <c r="H137" s="1066"/>
      <c r="J137" s="1062">
        <f>$G$99</f>
        <v>2</v>
      </c>
      <c r="K137" s="1062"/>
      <c r="L137" s="1062">
        <f>$G$101</f>
        <v>0</v>
      </c>
      <c r="M137" s="1134" t="s">
        <v>13</v>
      </c>
      <c r="N137" s="1062"/>
      <c r="O137" s="1158" t="s">
        <v>7</v>
      </c>
      <c r="Q137" s="1144" t="s">
        <v>13</v>
      </c>
      <c r="R137" s="1136"/>
      <c r="S137" s="1159" t="s">
        <v>7</v>
      </c>
      <c r="T137" s="1136"/>
      <c r="U137" s="1065"/>
    </row>
    <row r="138" spans="1:21">
      <c r="A138" s="1046"/>
      <c r="C138" s="1066"/>
      <c r="D138" s="1066"/>
      <c r="E138" s="1066"/>
      <c r="F138" s="1132"/>
      <c r="G138" s="1157"/>
      <c r="H138" s="1066"/>
      <c r="J138" s="1062"/>
      <c r="K138" s="1062"/>
      <c r="L138" s="1062"/>
      <c r="M138" s="1134"/>
      <c r="N138" s="1062"/>
      <c r="O138" s="1158"/>
      <c r="Q138" s="1144"/>
      <c r="R138" s="1136"/>
      <c r="S138" s="1159"/>
      <c r="T138" s="1160" t="str">
        <f>T107</f>
        <v>Non-retired</v>
      </c>
      <c r="U138" s="1065"/>
    </row>
    <row r="139" spans="1:21">
      <c r="G139" s="1156"/>
      <c r="U139" s="1065"/>
    </row>
    <row r="140" spans="1:21">
      <c r="A140" s="1318" t="s">
        <v>992</v>
      </c>
      <c r="B140" s="1318"/>
      <c r="C140" s="1161">
        <f>LOOKUP($G$99,$AE$2:$AI$2,AE42:AI42)</f>
        <v>34.308374999999998</v>
      </c>
      <c r="D140" s="1161">
        <f>LOOKUP($G$101,$AE$4:$AI$4,AE43:AI43)</f>
        <v>0</v>
      </c>
      <c r="E140" s="1161"/>
      <c r="F140" s="1161">
        <f>SUM(C140+D140)</f>
        <v>34.308374999999998</v>
      </c>
      <c r="G140" s="1161">
        <f>SUM(F140*52)/12</f>
        <v>148.669625</v>
      </c>
      <c r="H140" s="1156"/>
      <c r="J140" s="1161">
        <f>LOOKUP($G$99,$AO$2:$AS$2,AO42:AS42)</f>
        <v>33.558500000000002</v>
      </c>
      <c r="K140" s="1161"/>
      <c r="L140" s="1161">
        <f>LOOKUP($G$101,$AO$4:$AS$4,AO43:AS43)</f>
        <v>0</v>
      </c>
      <c r="M140" s="1161">
        <f>SUM(J140+L140)</f>
        <v>33.558500000000002</v>
      </c>
      <c r="N140" s="1161"/>
      <c r="O140" s="1161">
        <f t="shared" ref="O140" si="282">SUM(M140*52)/12</f>
        <v>145.42016666666669</v>
      </c>
      <c r="Q140" s="1161">
        <f>IF($G$97="Yes",F140,IF($G$97="No",M140))</f>
        <v>33.558500000000002</v>
      </c>
      <c r="R140" s="1161"/>
      <c r="S140" s="1161">
        <f>SUM(Q140*52)/12</f>
        <v>145.42016666666669</v>
      </c>
      <c r="U140" s="1065"/>
    </row>
    <row r="141" spans="1:21">
      <c r="C141" s="1156"/>
      <c r="D141" s="1156"/>
      <c r="E141" s="1156"/>
      <c r="F141" s="1156"/>
      <c r="G141" s="1156"/>
      <c r="H141" s="1156"/>
      <c r="J141" s="1156"/>
      <c r="K141" s="1156"/>
      <c r="L141" s="1156"/>
      <c r="M141" s="1156"/>
      <c r="N141" s="1156"/>
      <c r="O141" s="1156"/>
      <c r="Q141" s="1156"/>
      <c r="R141" s="1156"/>
      <c r="S141" s="1156"/>
      <c r="U141" s="1065"/>
    </row>
    <row r="142" spans="1:21">
      <c r="A142" s="1318" t="s">
        <v>993</v>
      </c>
      <c r="B142" s="1318"/>
      <c r="C142" s="1161">
        <f>LOOKUP($G$99,$AE$2:$AI$2,AE36:AI36)</f>
        <v>24.091049999999999</v>
      </c>
      <c r="D142" s="1161">
        <f>LOOKUP($G$101,$AE$4:$AI$4,AE37:AI37)</f>
        <v>0</v>
      </c>
      <c r="E142" s="1161"/>
      <c r="F142" s="1161">
        <f>SUM(C142+D142)</f>
        <v>24.091049999999999</v>
      </c>
      <c r="G142" s="1161">
        <f t="shared" si="278"/>
        <v>104.39455</v>
      </c>
      <c r="H142" s="1156"/>
      <c r="J142" s="1161">
        <f>LOOKUP($G$99,$AO$2:$AS$2,AO36:AS36)</f>
        <v>28.697449999999996</v>
      </c>
      <c r="K142" s="1161"/>
      <c r="L142" s="1161">
        <f>LOOKUP($G$101,$AO$4:$AS$4,AO37:AS37)</f>
        <v>0</v>
      </c>
      <c r="M142" s="1161">
        <f>SUM(J142+L142)</f>
        <v>28.697449999999996</v>
      </c>
      <c r="N142" s="1161"/>
      <c r="O142" s="1161">
        <f t="shared" ref="O142" si="283">SUM(M142*52)/12</f>
        <v>124.35561666666665</v>
      </c>
      <c r="Q142" s="1161">
        <f>IF($G$97="Yes",F142,IF($G$97="No",M142))</f>
        <v>28.697449999999996</v>
      </c>
      <c r="R142" s="1161"/>
      <c r="S142" s="1161">
        <f>SUM(Q142*52)/12</f>
        <v>124.35561666666665</v>
      </c>
      <c r="U142" s="1065"/>
    </row>
    <row r="143" spans="1:21">
      <c r="C143" s="1156"/>
      <c r="D143" s="1156"/>
      <c r="E143" s="1156"/>
      <c r="F143" s="1156"/>
      <c r="G143" s="1156"/>
      <c r="H143" s="1156"/>
      <c r="J143" s="1156"/>
      <c r="K143" s="1156"/>
      <c r="L143" s="1156"/>
      <c r="M143" s="1156"/>
      <c r="N143" s="1156"/>
      <c r="O143" s="1156"/>
      <c r="Q143" s="1156"/>
      <c r="R143" s="1156"/>
      <c r="S143" s="1156"/>
      <c r="U143" s="1065"/>
    </row>
    <row r="144" spans="1:21">
      <c r="A144" s="1318" t="s">
        <v>994</v>
      </c>
      <c r="B144" s="1318"/>
      <c r="C144" s="1161">
        <f>LOOKUP($G$99,$AE$2:$AI$2,AE39:AI39)</f>
        <v>13.743350000000001</v>
      </c>
      <c r="D144" s="1161">
        <f>LOOKUP($G$101,$AE$4:$AI$4,AE40:AI40)</f>
        <v>0</v>
      </c>
      <c r="E144" s="1161"/>
      <c r="F144" s="1161">
        <f>SUM(C144+D144)</f>
        <v>13.743350000000001</v>
      </c>
      <c r="G144" s="1161">
        <f t="shared" si="278"/>
        <v>59.554516666666672</v>
      </c>
      <c r="H144" s="1156"/>
      <c r="J144" s="1161">
        <f>LOOKUP(G99,$AO$2:$AS$2,AO39:AS39)</f>
        <v>13.914349999999999</v>
      </c>
      <c r="K144" s="1161"/>
      <c r="L144" s="1161">
        <f>LOOKUP($G$101,$AO$4:$AS$4,AO40:AS40)</f>
        <v>0</v>
      </c>
      <c r="M144" s="1161">
        <f>SUM(J144+L144)</f>
        <v>13.914349999999999</v>
      </c>
      <c r="N144" s="1161"/>
      <c r="O144" s="1161">
        <f t="shared" ref="O144" si="284">SUM(M144*52)/12</f>
        <v>60.295516666666664</v>
      </c>
      <c r="Q144" s="1161">
        <f>IF($G$97="Yes",F144,IF($G$97="No",M144))</f>
        <v>13.914349999999999</v>
      </c>
      <c r="R144" s="1161"/>
      <c r="S144" s="1161">
        <f>SUM(Q144*52)/12</f>
        <v>60.295516666666664</v>
      </c>
      <c r="U144" s="1065"/>
    </row>
    <row r="145" spans="1:21">
      <c r="U145" s="1065"/>
    </row>
    <row r="146" spans="1:21">
      <c r="U146" s="1065"/>
    </row>
    <row r="147" spans="1:21">
      <c r="U147" s="1065"/>
    </row>
    <row r="148" spans="1:21">
      <c r="U148" s="1065"/>
    </row>
    <row r="149" spans="1:21">
      <c r="C149" s="1329" t="s">
        <v>977</v>
      </c>
      <c r="D149" s="1329"/>
      <c r="E149" s="1329"/>
      <c r="F149" s="1329"/>
      <c r="G149" s="1329"/>
      <c r="H149" s="1329"/>
      <c r="J149" s="1331" t="s">
        <v>978</v>
      </c>
      <c r="K149" s="1331"/>
      <c r="L149" s="1331"/>
      <c r="M149" s="1331"/>
      <c r="N149" s="1331"/>
      <c r="O149" s="1331"/>
      <c r="Q149" s="1332" t="s">
        <v>979</v>
      </c>
      <c r="R149" s="1332"/>
      <c r="S149" s="1332"/>
      <c r="T149" s="1332"/>
      <c r="U149" s="1065"/>
    </row>
    <row r="150" spans="1:21">
      <c r="A150" s="1131" t="s">
        <v>999</v>
      </c>
      <c r="C150" s="1132" t="s">
        <v>975</v>
      </c>
      <c r="D150" s="1132" t="s">
        <v>976</v>
      </c>
      <c r="E150" s="1066"/>
      <c r="F150" s="1133" t="s">
        <v>980</v>
      </c>
      <c r="G150" s="1066"/>
      <c r="H150" s="1066"/>
      <c r="J150" s="1134" t="s">
        <v>975</v>
      </c>
      <c r="K150" s="1062"/>
      <c r="L150" s="1134" t="s">
        <v>976</v>
      </c>
      <c r="M150" s="1135" t="s">
        <v>980</v>
      </c>
      <c r="N150" s="1062"/>
      <c r="O150" s="1062"/>
      <c r="Q150" s="1332" t="s">
        <v>980</v>
      </c>
      <c r="R150" s="1332"/>
      <c r="S150" s="1332"/>
      <c r="T150" s="1136"/>
      <c r="U150" s="1065"/>
    </row>
    <row r="151" spans="1:21">
      <c r="C151" s="1066">
        <f>$G$99</f>
        <v>2</v>
      </c>
      <c r="D151" s="1066">
        <f>$G$101</f>
        <v>0</v>
      </c>
      <c r="E151" s="1066"/>
      <c r="F151" s="1066"/>
      <c r="G151" s="1132" t="s">
        <v>7</v>
      </c>
      <c r="H151" s="1066"/>
      <c r="J151" s="1062">
        <f>$G$99</f>
        <v>2</v>
      </c>
      <c r="K151" s="1062"/>
      <c r="L151" s="1062">
        <f>$G$101</f>
        <v>0</v>
      </c>
      <c r="M151" s="1062"/>
      <c r="N151" s="1134"/>
      <c r="O151" s="1134" t="s">
        <v>7</v>
      </c>
      <c r="Q151" s="1144" t="s">
        <v>7</v>
      </c>
      <c r="R151" s="1144"/>
      <c r="S151" s="1136"/>
      <c r="T151" s="1162" t="str">
        <f>IF($G$97="Yes","Retired",IF($G$97="No","Non-retired"))</f>
        <v>Non-retired</v>
      </c>
      <c r="U151" s="1065"/>
    </row>
    <row r="152" spans="1:21">
      <c r="A152" s="1067" t="s">
        <v>947</v>
      </c>
      <c r="B152" s="1067"/>
      <c r="C152" s="1148">
        <f>LOOKUP($G$99,$AE$49:$AI$49,AE55:AI55)</f>
        <v>265.74166666666667</v>
      </c>
      <c r="D152" s="1148">
        <f>LOOKUP($G$101,$AE$51:$AI$51,AE56:AI56)</f>
        <v>0</v>
      </c>
      <c r="E152" s="1066"/>
      <c r="F152" s="1066"/>
      <c r="G152" s="1148">
        <f>SUM(C152+D152)</f>
        <v>265.74166666666667</v>
      </c>
      <c r="H152" s="1163"/>
      <c r="J152" s="1149">
        <f>LOOKUP($G$99,$AO$49:$AS$49,AO55:AS55)</f>
        <v>263.0333333333333</v>
      </c>
      <c r="K152" s="1062"/>
      <c r="L152" s="1149">
        <f>LOOKUP($G$101,$AO$51:$AS$51,AO56:AS56)</f>
        <v>0</v>
      </c>
      <c r="M152" s="1062"/>
      <c r="N152" s="1062"/>
      <c r="O152" s="1149">
        <f>SUM(J152+L152)</f>
        <v>263.0333333333333</v>
      </c>
      <c r="Q152" s="1150">
        <f>IF($G$97="Yes",G152,IF($G$97="No",O152))</f>
        <v>263.0333333333333</v>
      </c>
      <c r="R152" s="1136"/>
      <c r="S152" s="1136"/>
      <c r="T152" s="1136"/>
      <c r="U152" s="1065"/>
    </row>
    <row r="153" spans="1:21">
      <c r="C153" s="1148"/>
      <c r="D153" s="1148"/>
      <c r="E153" s="1066"/>
      <c r="F153" s="1066"/>
      <c r="G153" s="1148"/>
      <c r="H153" s="1163"/>
      <c r="J153" s="1149"/>
      <c r="K153" s="1062"/>
      <c r="L153" s="1149"/>
      <c r="M153" s="1062"/>
      <c r="N153" s="1062"/>
      <c r="O153" s="1149"/>
      <c r="Q153" s="1150"/>
      <c r="R153" s="1136"/>
      <c r="S153" s="1136"/>
      <c r="T153" s="1136"/>
      <c r="U153" s="1065"/>
    </row>
    <row r="154" spans="1:21">
      <c r="A154" s="1067" t="s">
        <v>949</v>
      </c>
      <c r="B154" s="1067"/>
      <c r="C154" s="1148">
        <f>LOOKUP($G$99,$AE$49:$AI$49,AE57:AI57)</f>
        <v>52.974999999999994</v>
      </c>
      <c r="D154" s="1148">
        <f>LOOKUP($G$101,$AE$51:$AI$51,AE58:AI58)</f>
        <v>0</v>
      </c>
      <c r="E154" s="1066"/>
      <c r="F154" s="1066"/>
      <c r="G154" s="1148">
        <f>SUM(C154+D154)</f>
        <v>52.974999999999994</v>
      </c>
      <c r="H154" s="1163"/>
      <c r="J154" s="1149">
        <f t="shared" ref="J154:J174" si="285">LOOKUP($G$99,$AO$49:$AS$49,AO57:AS57)</f>
        <v>60.449999999999989</v>
      </c>
      <c r="K154" s="1062"/>
      <c r="L154" s="1149">
        <f t="shared" ref="L154:L174" si="286">LOOKUP($G$101,$AO$51:$AS$51,AO58:AS58)</f>
        <v>0</v>
      </c>
      <c r="M154" s="1062"/>
      <c r="N154" s="1062"/>
      <c r="O154" s="1149">
        <f>SUM(J154+L154)</f>
        <v>60.449999999999989</v>
      </c>
      <c r="Q154" s="1150">
        <f t="shared" ref="Q154:Q174" si="287">IF($G$97="Yes",G154,IF($G$97="No",O154))</f>
        <v>60.449999999999989</v>
      </c>
      <c r="R154" s="1136"/>
      <c r="S154" s="1136" t="s">
        <v>565</v>
      </c>
      <c r="T154" s="1136"/>
      <c r="U154" s="1065"/>
    </row>
    <row r="155" spans="1:21">
      <c r="C155" s="1148"/>
      <c r="D155" s="1148"/>
      <c r="E155" s="1066"/>
      <c r="F155" s="1066"/>
      <c r="G155" s="1148"/>
      <c r="H155" s="1163"/>
      <c r="J155" s="1149"/>
      <c r="K155" s="1062"/>
      <c r="L155" s="1149"/>
      <c r="M155" s="1062"/>
      <c r="N155" s="1062"/>
      <c r="O155" s="1149"/>
      <c r="Q155" s="1150"/>
      <c r="R155" s="1136"/>
      <c r="S155" s="1136"/>
      <c r="T155" s="1136"/>
      <c r="U155" s="1065"/>
    </row>
    <row r="156" spans="1:21">
      <c r="A156" s="1067" t="s">
        <v>950</v>
      </c>
      <c r="B156" s="1067"/>
      <c r="C156" s="1148">
        <f>LOOKUP($G$99,$AE$49:$AI$49,AE59:AI59)</f>
        <v>78.86666666666666</v>
      </c>
      <c r="D156" s="1148">
        <f>LOOKUP($G$101,$AE$51:$AI$51,AE60:AI60)</f>
        <v>0</v>
      </c>
      <c r="E156" s="1066"/>
      <c r="F156" s="1066"/>
      <c r="G156" s="1148">
        <f>SUM(C156+D156)</f>
        <v>78.86666666666666</v>
      </c>
      <c r="H156" s="1163"/>
      <c r="J156" s="1149">
        <f t="shared" si="285"/>
        <v>87.1</v>
      </c>
      <c r="K156" s="1062"/>
      <c r="L156" s="1149">
        <f t="shared" si="286"/>
        <v>0</v>
      </c>
      <c r="M156" s="1062"/>
      <c r="N156" s="1062"/>
      <c r="O156" s="1149">
        <f>SUM(J156+L156)</f>
        <v>87.1</v>
      </c>
      <c r="Q156" s="1150">
        <f t="shared" si="287"/>
        <v>87.1</v>
      </c>
      <c r="R156" s="1136"/>
      <c r="S156" s="1136"/>
      <c r="T156" s="1136"/>
      <c r="U156" s="1065"/>
    </row>
    <row r="157" spans="1:21">
      <c r="C157" s="1148"/>
      <c r="D157" s="1148"/>
      <c r="E157" s="1066"/>
      <c r="F157" s="1066"/>
      <c r="G157" s="1148"/>
      <c r="H157" s="1163"/>
      <c r="J157" s="1149"/>
      <c r="K157" s="1062"/>
      <c r="L157" s="1149"/>
      <c r="M157" s="1062"/>
      <c r="N157" s="1062"/>
      <c r="O157" s="1149"/>
      <c r="Q157" s="1150"/>
      <c r="R157" s="1136"/>
      <c r="S157" s="1136"/>
      <c r="T157" s="1136"/>
      <c r="U157" s="1065"/>
    </row>
    <row r="158" spans="1:21">
      <c r="A158" s="1067" t="s">
        <v>951</v>
      </c>
      <c r="B158" s="1067"/>
      <c r="C158" s="1148">
        <f>LOOKUP($G$99,$AE$49:$AI$49,AE61:AI61)</f>
        <v>336.375</v>
      </c>
      <c r="D158" s="1148">
        <f>LOOKUP($G$101,$AE$51:$AI$51,AE62:AI62)</f>
        <v>0</v>
      </c>
      <c r="E158" s="1066"/>
      <c r="F158" s="1066"/>
      <c r="G158" s="1148">
        <f>SUM(C158+D158)</f>
        <v>336.375</v>
      </c>
      <c r="H158" s="1163"/>
      <c r="J158" s="1149">
        <f t="shared" si="285"/>
        <v>412.31666666666661</v>
      </c>
      <c r="K158" s="1062"/>
      <c r="L158" s="1149">
        <f t="shared" si="286"/>
        <v>0</v>
      </c>
      <c r="M158" s="1062"/>
      <c r="N158" s="1062"/>
      <c r="O158" s="1149">
        <f>SUM(J158+L158)</f>
        <v>412.31666666666661</v>
      </c>
      <c r="Q158" s="1150">
        <f t="shared" si="287"/>
        <v>412.31666666666661</v>
      </c>
      <c r="R158" s="1136"/>
      <c r="S158" s="1136" t="s">
        <v>565</v>
      </c>
      <c r="T158" s="1136"/>
      <c r="U158" s="1065"/>
    </row>
    <row r="159" spans="1:21">
      <c r="A159" s="1067"/>
      <c r="B159" s="1067"/>
      <c r="C159" s="1148"/>
      <c r="D159" s="1148"/>
      <c r="E159" s="1066"/>
      <c r="F159" s="1066"/>
      <c r="G159" s="1148"/>
      <c r="H159" s="1163"/>
      <c r="J159" s="1149"/>
      <c r="K159" s="1062"/>
      <c r="L159" s="1149"/>
      <c r="M159" s="1062"/>
      <c r="N159" s="1062"/>
      <c r="O159" s="1149"/>
      <c r="Q159" s="1150"/>
      <c r="R159" s="1136"/>
      <c r="S159" s="1136"/>
      <c r="T159" s="1136"/>
      <c r="U159" s="1065"/>
    </row>
    <row r="160" spans="1:21">
      <c r="A160" s="1067" t="s">
        <v>952</v>
      </c>
      <c r="B160" s="1067"/>
      <c r="C160" s="1148">
        <f>LOOKUP($G$99,$AE$49:$AI$49,AE63:AI63)</f>
        <v>149.17499999999998</v>
      </c>
      <c r="D160" s="1148">
        <f>LOOKUP($G$101,$AE$51:$AI$51,AE64:AI64)</f>
        <v>0</v>
      </c>
      <c r="E160" s="1066"/>
      <c r="F160" s="1066"/>
      <c r="G160" s="1148">
        <f>SUM(C160+D160)</f>
        <v>149.17499999999998</v>
      </c>
      <c r="H160" s="1163"/>
      <c r="J160" s="1149">
        <f t="shared" si="285"/>
        <v>162.71666666666664</v>
      </c>
      <c r="K160" s="1062"/>
      <c r="L160" s="1149">
        <f t="shared" si="286"/>
        <v>0</v>
      </c>
      <c r="M160" s="1062"/>
      <c r="N160" s="1062"/>
      <c r="O160" s="1149">
        <f>SUM(J160+L160)</f>
        <v>162.71666666666664</v>
      </c>
      <c r="Q160" s="1150">
        <f t="shared" si="287"/>
        <v>162.71666666666664</v>
      </c>
      <c r="R160" s="1136"/>
      <c r="S160" s="1136"/>
      <c r="T160" s="1136"/>
      <c r="U160" s="1065"/>
    </row>
    <row r="161" spans="1:21">
      <c r="C161" s="1148"/>
      <c r="D161" s="1148"/>
      <c r="E161" s="1066"/>
      <c r="F161" s="1066"/>
      <c r="G161" s="1148"/>
      <c r="H161" s="1163"/>
      <c r="J161" s="1149"/>
      <c r="K161" s="1062"/>
      <c r="L161" s="1149"/>
      <c r="M161" s="1062"/>
      <c r="N161" s="1062"/>
      <c r="O161" s="1149"/>
      <c r="Q161" s="1150"/>
      <c r="R161" s="1136"/>
      <c r="S161" s="1136"/>
      <c r="T161" s="1136"/>
      <c r="U161" s="1065"/>
    </row>
    <row r="162" spans="1:21">
      <c r="A162" s="1067" t="s">
        <v>953</v>
      </c>
      <c r="B162" s="1067"/>
      <c r="C162" s="1148">
        <f>LOOKUP($G$99,$AE$49:$AI$49,AE65:AI65)</f>
        <v>51.566666666666663</v>
      </c>
      <c r="D162" s="1148">
        <f>LOOKUP($G$101,$AE$51:$AI$51,AE66:AI66)</f>
        <v>0</v>
      </c>
      <c r="E162" s="1066"/>
      <c r="F162" s="1066"/>
      <c r="G162" s="1148">
        <f>SUM(C162+D162)</f>
        <v>51.566666666666663</v>
      </c>
      <c r="H162" s="1163"/>
      <c r="J162" s="1149">
        <f t="shared" si="285"/>
        <v>46.149999999999991</v>
      </c>
      <c r="K162" s="1062"/>
      <c r="L162" s="1149">
        <f t="shared" si="286"/>
        <v>0</v>
      </c>
      <c r="M162" s="1062"/>
      <c r="N162" s="1062"/>
      <c r="O162" s="1149">
        <f>SUM(J162+L162)</f>
        <v>46.149999999999991</v>
      </c>
      <c r="Q162" s="1150">
        <f t="shared" si="287"/>
        <v>46.149999999999991</v>
      </c>
      <c r="R162" s="1136"/>
      <c r="S162" s="1136"/>
      <c r="T162" s="1136"/>
      <c r="U162" s="1065"/>
    </row>
    <row r="163" spans="1:21">
      <c r="C163" s="1148"/>
      <c r="D163" s="1148"/>
      <c r="E163" s="1066"/>
      <c r="F163" s="1066"/>
      <c r="G163" s="1148"/>
      <c r="H163" s="1163"/>
      <c r="J163" s="1149"/>
      <c r="K163" s="1062"/>
      <c r="L163" s="1149"/>
      <c r="M163" s="1062"/>
      <c r="N163" s="1062"/>
      <c r="O163" s="1149"/>
      <c r="Q163" s="1150"/>
      <c r="R163" s="1136"/>
      <c r="S163" s="1136"/>
      <c r="T163" s="1136"/>
      <c r="U163" s="1065"/>
    </row>
    <row r="164" spans="1:21">
      <c r="A164" s="1067" t="s">
        <v>954</v>
      </c>
      <c r="B164" s="1067"/>
      <c r="C164" s="1148">
        <f>LOOKUP($G$99,$AE$49:$AI$49,AE67:AI67)</f>
        <v>312.21666666666664</v>
      </c>
      <c r="D164" s="1148">
        <f>LOOKUP($G$101,$AE$51:$AI$51,AE68:AI68)</f>
        <v>0</v>
      </c>
      <c r="E164" s="1066"/>
      <c r="F164" s="1066"/>
      <c r="G164" s="1148">
        <f>SUM(C164+D164)</f>
        <v>312.21666666666664</v>
      </c>
      <c r="H164" s="1163"/>
      <c r="J164" s="1149">
        <f t="shared" si="285"/>
        <v>365.08333333333326</v>
      </c>
      <c r="K164" s="1062"/>
      <c r="L164" s="1149">
        <f t="shared" si="286"/>
        <v>0</v>
      </c>
      <c r="M164" s="1062"/>
      <c r="N164" s="1062"/>
      <c r="O164" s="1149">
        <f>SUM(J164+L164)</f>
        <v>365.08333333333326</v>
      </c>
      <c r="Q164" s="1150">
        <f t="shared" si="287"/>
        <v>365.08333333333326</v>
      </c>
      <c r="R164" s="1136"/>
      <c r="S164" s="1136" t="s">
        <v>565</v>
      </c>
      <c r="T164" s="1136"/>
      <c r="U164" s="1065"/>
    </row>
    <row r="165" spans="1:21">
      <c r="C165" s="1148"/>
      <c r="D165" s="1148"/>
      <c r="E165" s="1066"/>
      <c r="F165" s="1066"/>
      <c r="G165" s="1148"/>
      <c r="H165" s="1163"/>
      <c r="J165" s="1149"/>
      <c r="K165" s="1062"/>
      <c r="L165" s="1149"/>
      <c r="M165" s="1062"/>
      <c r="N165" s="1062"/>
      <c r="O165" s="1149"/>
      <c r="Q165" s="1150"/>
      <c r="R165" s="1136"/>
      <c r="S165" s="1136"/>
      <c r="T165" s="1136"/>
      <c r="U165" s="1065"/>
    </row>
    <row r="166" spans="1:21">
      <c r="A166" s="1067" t="s">
        <v>955</v>
      </c>
      <c r="B166" s="1067"/>
      <c r="C166" s="1148">
        <f>LOOKUP($G$99,$AE$49:$AI$49,AE69:AI69)</f>
        <v>92.191666666666663</v>
      </c>
      <c r="D166" s="1148">
        <f>LOOKUP($G$101,$AE$51:$AI$51,AE70:AI70)</f>
        <v>0</v>
      </c>
      <c r="E166" s="1066"/>
      <c r="F166" s="1066"/>
      <c r="G166" s="1148">
        <f>SUM(C166+D166)</f>
        <v>92.191666666666663</v>
      </c>
      <c r="H166" s="1163"/>
      <c r="J166" s="1149">
        <f t="shared" si="285"/>
        <v>98.583333333333343</v>
      </c>
      <c r="K166" s="1062"/>
      <c r="L166" s="1149">
        <f t="shared" si="286"/>
        <v>0</v>
      </c>
      <c r="M166" s="1062"/>
      <c r="N166" s="1062"/>
      <c r="O166" s="1149">
        <f>SUM(J166+L166)</f>
        <v>98.583333333333343</v>
      </c>
      <c r="Q166" s="1150">
        <f t="shared" si="287"/>
        <v>98.583333333333343</v>
      </c>
      <c r="R166" s="1136"/>
      <c r="S166" s="1136"/>
      <c r="T166" s="1136"/>
      <c r="U166" s="1065"/>
    </row>
    <row r="167" spans="1:21">
      <c r="C167" s="1148"/>
      <c r="D167" s="1148"/>
      <c r="E167" s="1066"/>
      <c r="F167" s="1066"/>
      <c r="G167" s="1148"/>
      <c r="H167" s="1163"/>
      <c r="J167" s="1149"/>
      <c r="K167" s="1062"/>
      <c r="L167" s="1149"/>
      <c r="M167" s="1062"/>
      <c r="N167" s="1062"/>
      <c r="O167" s="1149"/>
      <c r="Q167" s="1150"/>
      <c r="R167" s="1136"/>
      <c r="S167" s="1136"/>
      <c r="T167" s="1136"/>
      <c r="U167" s="1065"/>
    </row>
    <row r="168" spans="1:21">
      <c r="A168" s="1067" t="s">
        <v>956</v>
      </c>
      <c r="B168" s="1067"/>
      <c r="C168" s="1148">
        <f>LOOKUP($G$99,$AE$49:$AI$49,AE71:AI71)</f>
        <v>199.6583333333333</v>
      </c>
      <c r="D168" s="1148">
        <f>LOOKUP($G$101,$AE$51:$AI$51,AE72:AI72)</f>
        <v>0</v>
      </c>
      <c r="E168" s="1066"/>
      <c r="F168" s="1066"/>
      <c r="G168" s="1148">
        <f>SUM(C168+D168)</f>
        <v>199.6583333333333</v>
      </c>
      <c r="H168" s="1163"/>
      <c r="J168" s="1149">
        <f t="shared" si="285"/>
        <v>279.5</v>
      </c>
      <c r="K168" s="1062"/>
      <c r="L168" s="1149">
        <f t="shared" si="286"/>
        <v>0</v>
      </c>
      <c r="M168" s="1062"/>
      <c r="N168" s="1062"/>
      <c r="O168" s="1149">
        <f>SUM(J168+L168)</f>
        <v>279.5</v>
      </c>
      <c r="Q168" s="1150">
        <f t="shared" si="287"/>
        <v>279.5</v>
      </c>
      <c r="R168" s="1136"/>
      <c r="S168" s="1136"/>
      <c r="T168" s="1136"/>
      <c r="U168" s="1065"/>
    </row>
    <row r="169" spans="1:21">
      <c r="C169" s="1148"/>
      <c r="D169" s="1148"/>
      <c r="E169" s="1066"/>
      <c r="F169" s="1066"/>
      <c r="G169" s="1148"/>
      <c r="H169" s="1163"/>
      <c r="J169" s="1149"/>
      <c r="K169" s="1062"/>
      <c r="L169" s="1149"/>
      <c r="M169" s="1062"/>
      <c r="N169" s="1062"/>
      <c r="O169" s="1149"/>
      <c r="Q169" s="1150"/>
      <c r="R169" s="1136"/>
      <c r="S169" s="1136"/>
      <c r="T169" s="1136"/>
      <c r="U169" s="1065"/>
    </row>
    <row r="170" spans="1:21">
      <c r="A170" s="1067" t="s">
        <v>957</v>
      </c>
      <c r="B170" s="1067"/>
      <c r="C170" s="1148">
        <f>LOOKUP($G$99,$AE$49:$AI$49,AE73:AI73)</f>
        <v>19.5</v>
      </c>
      <c r="D170" s="1148">
        <f>LOOKUP($G$101,$AE$51:$AI$51,AE74:AI74)</f>
        <v>0</v>
      </c>
      <c r="E170" s="1066"/>
      <c r="F170" s="1066"/>
      <c r="G170" s="1148">
        <f>SUM(C170+D170)</f>
        <v>19.5</v>
      </c>
      <c r="H170" s="1163"/>
      <c r="J170" s="1149">
        <f t="shared" si="285"/>
        <v>27.95</v>
      </c>
      <c r="K170" s="1062"/>
      <c r="L170" s="1149">
        <f t="shared" si="286"/>
        <v>0</v>
      </c>
      <c r="M170" s="1062"/>
      <c r="N170" s="1062"/>
      <c r="O170" s="1149">
        <f>SUM(J170+L170)</f>
        <v>27.95</v>
      </c>
      <c r="Q170" s="1150">
        <f>IF($G$97="Yes",G170,IF($G$97="No",O170))</f>
        <v>27.95</v>
      </c>
      <c r="R170" s="1136"/>
      <c r="S170" s="1136" t="s">
        <v>565</v>
      </c>
      <c r="T170" s="1136"/>
      <c r="U170" s="1065"/>
    </row>
    <row r="171" spans="1:21">
      <c r="C171" s="1148"/>
      <c r="D171" s="1148"/>
      <c r="E171" s="1066"/>
      <c r="F171" s="1066"/>
      <c r="G171" s="1148"/>
      <c r="H171" s="1163"/>
      <c r="J171" s="1149"/>
      <c r="K171" s="1062"/>
      <c r="L171" s="1149"/>
      <c r="M171" s="1062"/>
      <c r="N171" s="1062"/>
      <c r="O171" s="1149"/>
      <c r="Q171" s="1150"/>
      <c r="R171" s="1136"/>
      <c r="S171" s="1136"/>
      <c r="T171" s="1136"/>
      <c r="U171" s="1065"/>
    </row>
    <row r="172" spans="1:21">
      <c r="A172" s="1067" t="s">
        <v>958</v>
      </c>
      <c r="B172" s="1067"/>
      <c r="C172" s="1148">
        <f>LOOKUP($G$99,$AE$49:$AI$49,AE75:AI75)</f>
        <v>146.14166666666665</v>
      </c>
      <c r="D172" s="1148">
        <f>LOOKUP($G$101,$AE$51:$AI$51,AE76:AI76)</f>
        <v>0</v>
      </c>
      <c r="E172" s="1066"/>
      <c r="F172" s="1066"/>
      <c r="G172" s="1148">
        <f>SUM(C172+D172)</f>
        <v>146.14166666666665</v>
      </c>
      <c r="H172" s="1163"/>
      <c r="J172" s="1149">
        <f t="shared" si="285"/>
        <v>166.83333333333331</v>
      </c>
      <c r="K172" s="1062"/>
      <c r="L172" s="1149">
        <f t="shared" si="286"/>
        <v>0</v>
      </c>
      <c r="M172" s="1062"/>
      <c r="N172" s="1062"/>
      <c r="O172" s="1149">
        <f>SUM(J172+L172)</f>
        <v>166.83333333333331</v>
      </c>
      <c r="Q172" s="1150">
        <f t="shared" si="287"/>
        <v>166.83333333333331</v>
      </c>
      <c r="R172" s="1136"/>
      <c r="S172" s="1136" t="s">
        <v>565</v>
      </c>
      <c r="T172" s="1136"/>
      <c r="U172" s="1065"/>
    </row>
    <row r="173" spans="1:21">
      <c r="C173" s="1148"/>
      <c r="D173" s="1148"/>
      <c r="E173" s="1066"/>
      <c r="F173" s="1066"/>
      <c r="G173" s="1148"/>
      <c r="H173" s="1163"/>
      <c r="J173" s="1149"/>
      <c r="K173" s="1062"/>
      <c r="L173" s="1149"/>
      <c r="M173" s="1062"/>
      <c r="N173" s="1062"/>
      <c r="O173" s="1149"/>
      <c r="Q173" s="1150"/>
      <c r="R173" s="1136"/>
      <c r="S173" s="1136"/>
      <c r="T173" s="1136"/>
      <c r="U173" s="1065"/>
    </row>
    <row r="174" spans="1:21">
      <c r="A174" s="1318" t="s">
        <v>959</v>
      </c>
      <c r="B174" s="1318"/>
      <c r="C174" s="1148">
        <f>LOOKUP($G$99,$AE$49:$AI$49,AE77:AI77)</f>
        <v>172.25</v>
      </c>
      <c r="D174" s="1148">
        <f>LOOKUP($G$101,$AE$51:$AI$51,AE78:AI78)</f>
        <v>0</v>
      </c>
      <c r="E174" s="1066"/>
      <c r="F174" s="1066"/>
      <c r="G174" s="1148">
        <f>SUM(C174+D174)</f>
        <v>172.25</v>
      </c>
      <c r="H174" s="1163"/>
      <c r="J174" s="1149">
        <f t="shared" si="285"/>
        <v>169</v>
      </c>
      <c r="K174" s="1062"/>
      <c r="L174" s="1149">
        <f t="shared" si="286"/>
        <v>0</v>
      </c>
      <c r="M174" s="1062"/>
      <c r="N174" s="1062"/>
      <c r="O174" s="1149">
        <f>SUM(J174+L174)</f>
        <v>169</v>
      </c>
      <c r="Q174" s="1150">
        <f t="shared" si="287"/>
        <v>169</v>
      </c>
      <c r="R174" s="1136"/>
      <c r="S174" s="1136" t="s">
        <v>565</v>
      </c>
      <c r="T174" s="1136"/>
      <c r="U174" s="1065"/>
    </row>
    <row r="175" spans="1:21">
      <c r="C175" s="1156"/>
      <c r="D175" s="1156"/>
      <c r="F175" s="1156"/>
      <c r="U175" s="1065"/>
    </row>
    <row r="176" spans="1:21">
      <c r="U176" s="1065"/>
    </row>
    <row r="177" spans="1:21">
      <c r="C177" s="1329" t="s">
        <v>977</v>
      </c>
      <c r="D177" s="1329"/>
      <c r="E177" s="1329"/>
      <c r="F177" s="1329"/>
      <c r="G177" s="1329"/>
      <c r="H177" s="1329"/>
      <c r="J177" s="1331" t="s">
        <v>978</v>
      </c>
      <c r="K177" s="1331"/>
      <c r="L177" s="1331"/>
      <c r="M177" s="1331"/>
      <c r="N177" s="1331"/>
      <c r="O177" s="1331"/>
      <c r="Q177" s="1332" t="s">
        <v>979</v>
      </c>
      <c r="R177" s="1332"/>
      <c r="S177" s="1332"/>
      <c r="T177" s="1332"/>
      <c r="U177" s="1065"/>
    </row>
    <row r="178" spans="1:21">
      <c r="C178" s="1132" t="s">
        <v>975</v>
      </c>
      <c r="D178" s="1132" t="s">
        <v>976</v>
      </c>
      <c r="E178" s="1066"/>
      <c r="F178" s="1329" t="s">
        <v>980</v>
      </c>
      <c r="G178" s="1329"/>
      <c r="H178" s="1329"/>
      <c r="J178" s="1134" t="s">
        <v>975</v>
      </c>
      <c r="K178" s="1062"/>
      <c r="L178" s="1134" t="s">
        <v>976</v>
      </c>
      <c r="M178" s="1331" t="s">
        <v>980</v>
      </c>
      <c r="N178" s="1331"/>
      <c r="O178" s="1331"/>
      <c r="Q178" s="1332" t="s">
        <v>991</v>
      </c>
      <c r="R178" s="1332"/>
      <c r="S178" s="1332"/>
      <c r="T178" s="1136"/>
      <c r="U178" s="1065"/>
    </row>
    <row r="179" spans="1:21">
      <c r="A179" s="1046" t="s">
        <v>960</v>
      </c>
      <c r="C179" s="1066">
        <f>$G$99</f>
        <v>2</v>
      </c>
      <c r="D179" s="1066">
        <f>$G$101</f>
        <v>0</v>
      </c>
      <c r="E179" s="1066"/>
      <c r="F179" s="1132" t="s">
        <v>13</v>
      </c>
      <c r="G179" s="1157" t="s">
        <v>7</v>
      </c>
      <c r="H179" s="1066"/>
      <c r="J179" s="1062">
        <f>$G$99</f>
        <v>2</v>
      </c>
      <c r="K179" s="1062"/>
      <c r="L179" s="1062">
        <f>$G$101</f>
        <v>0</v>
      </c>
      <c r="M179" s="1134" t="s">
        <v>13</v>
      </c>
      <c r="N179" s="1062"/>
      <c r="O179" s="1158" t="s">
        <v>7</v>
      </c>
      <c r="Q179" s="1159" t="s">
        <v>7</v>
      </c>
      <c r="R179" s="1136"/>
      <c r="S179" s="1159"/>
      <c r="T179" s="1136"/>
      <c r="U179" s="1065"/>
    </row>
    <row r="180" spans="1:21">
      <c r="A180" s="1046"/>
      <c r="C180" s="1066"/>
      <c r="D180" s="1066"/>
      <c r="E180" s="1066"/>
      <c r="F180" s="1132"/>
      <c r="G180" s="1157"/>
      <c r="H180" s="1066"/>
      <c r="J180" s="1062"/>
      <c r="K180" s="1062"/>
      <c r="L180" s="1062"/>
      <c r="M180" s="1134"/>
      <c r="N180" s="1062"/>
      <c r="O180" s="1158"/>
      <c r="Q180" s="1144"/>
      <c r="R180" s="1136"/>
      <c r="S180" s="1159"/>
      <c r="T180" s="1160" t="str">
        <f>IF($G$97="Yes","Retired",IF($G$97="No","Non-retired"))</f>
        <v>Non-retired</v>
      </c>
      <c r="U180" s="1065"/>
    </row>
    <row r="181" spans="1:21">
      <c r="C181" s="1066"/>
      <c r="D181" s="1066"/>
      <c r="E181" s="1066"/>
      <c r="F181" s="1066"/>
      <c r="G181" s="1066"/>
      <c r="H181" s="1066"/>
      <c r="J181" s="1062"/>
      <c r="K181" s="1062"/>
      <c r="L181" s="1062"/>
      <c r="M181" s="1062"/>
      <c r="N181" s="1062"/>
      <c r="O181" s="1062"/>
      <c r="Q181" s="1136"/>
      <c r="R181" s="1136"/>
      <c r="S181" s="1136"/>
      <c r="T181" s="1136"/>
      <c r="U181" s="1065"/>
    </row>
    <row r="182" spans="1:21">
      <c r="A182" s="1318" t="s">
        <v>992</v>
      </c>
      <c r="B182" s="1318"/>
      <c r="C182" s="1148">
        <f>LOOKUP($G$99,$AE$49:$AI$49,AE88:AI88)</f>
        <v>148.66962499999997</v>
      </c>
      <c r="D182" s="1148">
        <f>LOOKUP($G$101,$AE$51:$AI$51,AE89:AI89)</f>
        <v>0</v>
      </c>
      <c r="E182" s="1148"/>
      <c r="F182" s="1148"/>
      <c r="G182" s="1148">
        <f t="shared" ref="G182:G186" si="288">SUM(C182+D182)</f>
        <v>148.66962499999997</v>
      </c>
      <c r="H182" s="1148"/>
      <c r="I182" s="1156"/>
      <c r="J182" s="1149">
        <f>LOOKUP($G$99,$AO$49:$AS$49,AO88:AS88)</f>
        <v>145.42016666666666</v>
      </c>
      <c r="K182" s="1149"/>
      <c r="L182" s="1149">
        <f>LOOKUP($G$101,$AO$51:$AS$51,AO89:AS89)</f>
        <v>0</v>
      </c>
      <c r="M182" s="1149"/>
      <c r="N182" s="1149"/>
      <c r="O182" s="1149">
        <f>SUM(J182+L182)</f>
        <v>145.42016666666666</v>
      </c>
      <c r="P182" s="1156"/>
      <c r="Q182" s="1150">
        <f>IF($G$97="Yes",G182,IF($G$97="No",O182))</f>
        <v>145.42016666666666</v>
      </c>
      <c r="R182" s="1136"/>
      <c r="S182" s="1136"/>
      <c r="T182" s="1136"/>
      <c r="U182" s="1065"/>
    </row>
    <row r="183" spans="1:21">
      <c r="C183" s="1148"/>
      <c r="D183" s="1148"/>
      <c r="E183" s="1148"/>
      <c r="F183" s="1148"/>
      <c r="G183" s="1148"/>
      <c r="H183" s="1148"/>
      <c r="I183" s="1156"/>
      <c r="J183" s="1149"/>
      <c r="K183" s="1149"/>
      <c r="L183" s="1149"/>
      <c r="M183" s="1149"/>
      <c r="N183" s="1149"/>
      <c r="O183" s="1149"/>
      <c r="P183" s="1156"/>
      <c r="Q183" s="1150"/>
      <c r="R183" s="1136"/>
      <c r="S183" s="1136"/>
      <c r="T183" s="1136"/>
      <c r="U183" s="1065"/>
    </row>
    <row r="184" spans="1:21">
      <c r="A184" s="1318" t="s">
        <v>993</v>
      </c>
      <c r="B184" s="1318"/>
      <c r="C184" s="1148">
        <f>LOOKUP($G$99,$AE$49:$AI$49,AE82:AI82)</f>
        <v>104.39454999999998</v>
      </c>
      <c r="D184" s="1148">
        <f>LOOKUP($G$101,$AE$51:$AI$51,AE83:AI83)</f>
        <v>0</v>
      </c>
      <c r="E184" s="1148"/>
      <c r="F184" s="1148"/>
      <c r="G184" s="1148">
        <f t="shared" si="288"/>
        <v>104.39454999999998</v>
      </c>
      <c r="H184" s="1148"/>
      <c r="I184" s="1156"/>
      <c r="J184" s="1149">
        <f>LOOKUP($G$99,$AO$49:$AS$49,AO82:AS82)</f>
        <v>124.35561666666665</v>
      </c>
      <c r="K184" s="1149"/>
      <c r="L184" s="1149">
        <f>LOOKUP($G$101,$AO$51:$AS$51,AO83:AS83)</f>
        <v>0</v>
      </c>
      <c r="M184" s="1149"/>
      <c r="N184" s="1149"/>
      <c r="O184" s="1149">
        <f t="shared" ref="O184:O186" si="289">SUM(J184+L184)</f>
        <v>124.35561666666665</v>
      </c>
      <c r="P184" s="1156"/>
      <c r="Q184" s="1150">
        <f t="shared" ref="Q184:Q186" si="290">IF($G$97="Yes",G184,IF($G$97="No",O184))</f>
        <v>124.35561666666665</v>
      </c>
      <c r="R184" s="1136"/>
      <c r="S184" s="1136"/>
      <c r="T184" s="1136"/>
      <c r="U184" s="1065"/>
    </row>
    <row r="185" spans="1:21">
      <c r="C185" s="1148"/>
      <c r="D185" s="1148"/>
      <c r="E185" s="1148"/>
      <c r="F185" s="1148"/>
      <c r="G185" s="1148"/>
      <c r="H185" s="1148"/>
      <c r="I185" s="1156"/>
      <c r="J185" s="1149"/>
      <c r="K185" s="1149"/>
      <c r="L185" s="1149"/>
      <c r="M185" s="1149"/>
      <c r="N185" s="1149"/>
      <c r="O185" s="1149"/>
      <c r="P185" s="1156"/>
      <c r="Q185" s="1150"/>
      <c r="R185" s="1136"/>
      <c r="S185" s="1136"/>
      <c r="T185" s="1136"/>
      <c r="U185" s="1065"/>
    </row>
    <row r="186" spans="1:21">
      <c r="A186" s="1318" t="s">
        <v>994</v>
      </c>
      <c r="B186" s="1318"/>
      <c r="C186" s="1148">
        <f>LOOKUP($G$99,$AE$49:$AI$49,AE85:AI85)</f>
        <v>59.554516666666665</v>
      </c>
      <c r="D186" s="1148">
        <f>LOOKUP($G$101,$AE$51:$AI$51,AE86:AI86)</f>
        <v>0</v>
      </c>
      <c r="E186" s="1148"/>
      <c r="F186" s="1148"/>
      <c r="G186" s="1148">
        <f t="shared" si="288"/>
        <v>59.554516666666665</v>
      </c>
      <c r="H186" s="1148"/>
      <c r="I186" s="1156"/>
      <c r="J186" s="1149">
        <f>LOOKUP($G$99,$AO$49:$AS$49,AO85:AS85)</f>
        <v>60.295516666666664</v>
      </c>
      <c r="K186" s="1149"/>
      <c r="L186" s="1149">
        <f>LOOKUP($G$101,$AO$51:$AS$51,AO86:AS86)</f>
        <v>0</v>
      </c>
      <c r="M186" s="1149"/>
      <c r="N186" s="1149"/>
      <c r="O186" s="1149">
        <f t="shared" si="289"/>
        <v>60.295516666666664</v>
      </c>
      <c r="P186" s="1156"/>
      <c r="Q186" s="1150">
        <f t="shared" si="290"/>
        <v>60.295516666666664</v>
      </c>
      <c r="R186" s="1136"/>
      <c r="S186" s="1136"/>
      <c r="T186" s="1136"/>
      <c r="U186" s="1065"/>
    </row>
    <row r="187" spans="1:21">
      <c r="C187" s="1066"/>
      <c r="D187" s="1066"/>
      <c r="E187" s="1066"/>
      <c r="F187" s="1066"/>
      <c r="G187" s="1066"/>
      <c r="H187" s="1066"/>
      <c r="J187" s="1062"/>
      <c r="K187" s="1062"/>
      <c r="L187" s="1062"/>
      <c r="M187" s="1062"/>
      <c r="N187" s="1062"/>
      <c r="O187" s="1062"/>
      <c r="Q187" s="1136"/>
      <c r="R187" s="1136"/>
      <c r="S187" s="1136"/>
      <c r="T187" s="1136"/>
      <c r="U187" s="1065"/>
    </row>
    <row r="188" spans="1:21">
      <c r="U188" s="1065"/>
    </row>
    <row r="189" spans="1:21" s="1065" customFormat="1"/>
    <row r="190" spans="1:21">
      <c r="U190" s="1065"/>
    </row>
    <row r="191" spans="1:21">
      <c r="C191" s="1127" t="s">
        <v>997</v>
      </c>
      <c r="U191" s="1065"/>
    </row>
    <row r="192" spans="1:21">
      <c r="D192" s="1318"/>
      <c r="E192" s="1318"/>
      <c r="U192" s="1065"/>
    </row>
    <row r="193" spans="1:31">
      <c r="J193" s="1128" t="s">
        <v>973</v>
      </c>
      <c r="K193" s="1115"/>
      <c r="L193" s="1115"/>
      <c r="M193" s="1115"/>
      <c r="U193" s="1065"/>
    </row>
    <row r="194" spans="1:31">
      <c r="D194" s="1318"/>
      <c r="E194" s="1318"/>
      <c r="J194" s="1115"/>
      <c r="K194" s="1115"/>
      <c r="L194" s="1115"/>
      <c r="M194" s="1115"/>
      <c r="U194" s="1065"/>
    </row>
    <row r="195" spans="1:31">
      <c r="F195" s="1039" t="s">
        <v>974</v>
      </c>
      <c r="G195" s="1129" t="str">
        <f>'Support borrower Affordability'!J32</f>
        <v>No</v>
      </c>
      <c r="J195" s="1115" t="str">
        <f>IF(G195="Yes"," retired adults and ",IF(G195="No"," adults and "))</f>
        <v xml:space="preserve"> adults and </v>
      </c>
      <c r="K195" s="1115"/>
      <c r="L195" s="1115"/>
      <c r="M195" s="1115"/>
      <c r="U195" s="1065"/>
    </row>
    <row r="196" spans="1:31">
      <c r="D196" s="1318"/>
      <c r="E196" s="1318"/>
      <c r="J196" s="1115"/>
      <c r="K196" s="1115"/>
      <c r="L196" s="1115"/>
      <c r="M196" s="1115"/>
      <c r="U196" s="1065"/>
    </row>
    <row r="197" spans="1:31">
      <c r="F197" s="1039" t="s">
        <v>975</v>
      </c>
      <c r="G197" s="1130">
        <f>'Income &amp; Committed Expenditure'!J46</f>
        <v>2</v>
      </c>
      <c r="J197" s="1115" t="str">
        <f>IF(G197="","Please complete adult details",IF(G197=0,"Please complete adult details",IF(G197&gt;0,G197&amp;J195&amp; G199&amp;J199)))</f>
        <v>2 adults and 0 children</v>
      </c>
      <c r="K197" s="1115"/>
      <c r="L197" s="1115"/>
      <c r="M197" s="1115"/>
      <c r="U197" s="1065"/>
    </row>
    <row r="198" spans="1:31">
      <c r="D198" s="1318"/>
      <c r="E198" s="1318"/>
      <c r="J198" s="1115"/>
      <c r="K198" s="1115"/>
      <c r="L198" s="1115"/>
      <c r="M198" s="1115"/>
      <c r="U198" s="1065"/>
    </row>
    <row r="199" spans="1:31">
      <c r="F199" s="1039" t="s">
        <v>976</v>
      </c>
      <c r="G199" s="1130">
        <f>'Income &amp; Committed Expenditure'!J47</f>
        <v>0</v>
      </c>
      <c r="J199" s="1115" t="str">
        <f>IF(G199=0," children",IF(G199=1," child",IF(G199&gt;1," children")))</f>
        <v xml:space="preserve"> children</v>
      </c>
      <c r="K199" s="1115"/>
      <c r="L199" s="1115"/>
      <c r="M199" s="1115"/>
      <c r="U199" s="1065"/>
    </row>
    <row r="200" spans="1:31">
      <c r="D200" s="1318"/>
      <c r="E200" s="1318"/>
      <c r="U200" s="1065"/>
    </row>
    <row r="201" spans="1:31">
      <c r="U201" s="1065"/>
      <c r="W201" s="1127"/>
    </row>
    <row r="202" spans="1:31">
      <c r="U202" s="1065"/>
      <c r="W202" s="1127" t="s">
        <v>1002</v>
      </c>
    </row>
    <row r="203" spans="1:31">
      <c r="C203" s="1329" t="s">
        <v>977</v>
      </c>
      <c r="D203" s="1329"/>
      <c r="E203" s="1329"/>
      <c r="F203" s="1329"/>
      <c r="G203" s="1329"/>
      <c r="H203" s="1329"/>
      <c r="J203" s="1331" t="s">
        <v>978</v>
      </c>
      <c r="K203" s="1331"/>
      <c r="L203" s="1331"/>
      <c r="M203" s="1331"/>
      <c r="N203" s="1331"/>
      <c r="O203" s="1331"/>
      <c r="Q203" s="1332" t="s">
        <v>979</v>
      </c>
      <c r="R203" s="1332"/>
      <c r="S203" s="1332"/>
      <c r="T203" s="1332"/>
      <c r="U203" s="1065"/>
    </row>
    <row r="204" spans="1:31">
      <c r="A204" s="1131" t="s">
        <v>1000</v>
      </c>
      <c r="C204" s="1132" t="s">
        <v>975</v>
      </c>
      <c r="D204" s="1132" t="s">
        <v>976</v>
      </c>
      <c r="E204" s="1066"/>
      <c r="F204" s="1133" t="s">
        <v>980</v>
      </c>
      <c r="G204" s="1066"/>
      <c r="H204" s="1066"/>
      <c r="J204" s="1134" t="s">
        <v>975</v>
      </c>
      <c r="K204" s="1062"/>
      <c r="L204" s="1134" t="s">
        <v>976</v>
      </c>
      <c r="M204" s="1135" t="s">
        <v>980</v>
      </c>
      <c r="N204" s="1062"/>
      <c r="O204" s="1062"/>
      <c r="Q204" s="1332" t="s">
        <v>980</v>
      </c>
      <c r="R204" s="1332"/>
      <c r="S204" s="1332"/>
      <c r="T204" s="1136"/>
      <c r="U204" s="1065"/>
      <c r="W204" s="1046"/>
    </row>
    <row r="205" spans="1:31">
      <c r="A205" s="1046"/>
      <c r="C205" s="1132"/>
      <c r="D205" s="1066"/>
      <c r="E205" s="1066"/>
      <c r="F205" s="1132"/>
      <c r="G205" s="1133"/>
      <c r="H205" s="1066"/>
      <c r="J205" s="1134"/>
      <c r="K205" s="1062"/>
      <c r="L205" s="1134"/>
      <c r="M205" s="1135"/>
      <c r="N205" s="1062"/>
      <c r="O205" s="1062"/>
      <c r="Q205" s="1136"/>
      <c r="R205" s="1136"/>
      <c r="S205" s="1137"/>
      <c r="T205" s="1138" t="str">
        <f>IF($G$97="Yes","Retired",IF($G$97="No","Non-retired"))</f>
        <v>Non-retired</v>
      </c>
      <c r="U205" s="1065"/>
      <c r="W205" s="1139" t="str">
        <f>T205</f>
        <v>Non-retired</v>
      </c>
      <c r="X205" s="1140" t="s">
        <v>981</v>
      </c>
      <c r="Y205" s="1140"/>
      <c r="Z205" s="1140"/>
      <c r="AA205" s="1140"/>
      <c r="AC205" s="1141" t="s">
        <v>982</v>
      </c>
      <c r="AD205" s="1121"/>
      <c r="AE205" s="1121"/>
    </row>
    <row r="206" spans="1:31">
      <c r="A206" s="1046"/>
      <c r="C206" s="1142">
        <f>$G$197</f>
        <v>2</v>
      </c>
      <c r="D206" s="1142">
        <f>$G$199</f>
        <v>0</v>
      </c>
      <c r="E206" s="1066"/>
      <c r="F206" s="1132" t="s">
        <v>13</v>
      </c>
      <c r="G206" s="1132" t="s">
        <v>7</v>
      </c>
      <c r="H206" s="1066"/>
      <c r="J206" s="1143">
        <f>$G$197</f>
        <v>2</v>
      </c>
      <c r="K206" s="1062"/>
      <c r="L206" s="1143">
        <f>$G$199</f>
        <v>0</v>
      </c>
      <c r="M206" s="1134" t="s">
        <v>13</v>
      </c>
      <c r="N206" s="1062"/>
      <c r="O206" s="1134" t="s">
        <v>7</v>
      </c>
      <c r="Q206" s="1144" t="s">
        <v>13</v>
      </c>
      <c r="R206" s="1136"/>
      <c r="S206" s="1144" t="s">
        <v>7</v>
      </c>
      <c r="T206" s="1136"/>
      <c r="U206" s="1065"/>
      <c r="W206" s="1145" t="s">
        <v>983</v>
      </c>
      <c r="X206" s="1140"/>
      <c r="Y206" s="1140"/>
      <c r="Z206" s="1140"/>
      <c r="AA206" s="1146" t="s">
        <v>7</v>
      </c>
      <c r="AC206" s="1147" t="s">
        <v>7</v>
      </c>
      <c r="AD206" s="1121"/>
      <c r="AE206" s="1141" t="s">
        <v>5</v>
      </c>
    </row>
    <row r="207" spans="1:31">
      <c r="C207" s="1132"/>
      <c r="D207" s="1133"/>
      <c r="E207" s="1066"/>
      <c r="F207" s="1133"/>
      <c r="G207" s="1133"/>
      <c r="H207" s="1066"/>
      <c r="J207" s="1134"/>
      <c r="K207" s="1062"/>
      <c r="L207" s="1135"/>
      <c r="M207" s="1135"/>
      <c r="N207" s="1062"/>
      <c r="O207" s="1062"/>
      <c r="Q207" s="1137"/>
      <c r="R207" s="1136"/>
      <c r="S207" s="1136"/>
      <c r="T207" s="1136"/>
      <c r="U207" s="1065"/>
      <c r="W207" s="1140"/>
      <c r="X207" s="1140"/>
      <c r="Y207" s="1140"/>
      <c r="Z207" s="1140"/>
      <c r="AA207" s="1140"/>
      <c r="AC207" s="1121"/>
      <c r="AD207" s="1121"/>
      <c r="AE207" s="1121"/>
    </row>
    <row r="208" spans="1:31">
      <c r="A208" s="1318" t="s">
        <v>947</v>
      </c>
      <c r="B208" s="1318"/>
      <c r="C208" s="1148">
        <f>LOOKUP($G$197,$AE$2:$AI$2,AE9:AI9)</f>
        <v>61.325000000000003</v>
      </c>
      <c r="D208" s="1148">
        <f>LOOKUP($G$199,$AE$4:$AI$4,AE10:AI10)</f>
        <v>0</v>
      </c>
      <c r="E208" s="1066"/>
      <c r="F208" s="1148">
        <f>SUM(C208+D208)</f>
        <v>61.325000000000003</v>
      </c>
      <c r="G208" s="1148">
        <f>SUM(F208*52)/12</f>
        <v>265.74166666666667</v>
      </c>
      <c r="H208" s="1066"/>
      <c r="J208" s="1149">
        <f>LOOKUP($G$197,$AO$2:$AS$2,AO9:AS9)</f>
        <v>60.7</v>
      </c>
      <c r="K208" s="1062"/>
      <c r="L208" s="1149">
        <f>LOOKUP($G$199,$AO$4:$AS$4,AO10:AS10)</f>
        <v>0</v>
      </c>
      <c r="M208" s="1149">
        <f>SUM(J208+L208)</f>
        <v>60.7</v>
      </c>
      <c r="N208" s="1062"/>
      <c r="O208" s="1149">
        <f>SUM(M208*52)/12</f>
        <v>263.03333333333336</v>
      </c>
      <c r="Q208" s="1150">
        <f>IF($G$195="Yes",F208,IF($G$195="No",M208))</f>
        <v>60.7</v>
      </c>
      <c r="R208" s="1136"/>
      <c r="S208" s="1150">
        <f>SUM(Q208*52)/12</f>
        <v>263.03333333333336</v>
      </c>
      <c r="T208" s="1136">
        <f>SUM(S208/Q208)</f>
        <v>4.3333333333333339</v>
      </c>
      <c r="U208" s="1065"/>
      <c r="W208" s="1140" t="s">
        <v>984</v>
      </c>
      <c r="X208" s="1140"/>
      <c r="Y208" s="1140"/>
      <c r="Z208" s="1140"/>
      <c r="AA208" s="1151">
        <f>IF($G$197=0,0,S208)</f>
        <v>263.03333333333336</v>
      </c>
      <c r="AB208" s="1069"/>
      <c r="AC208" s="1068">
        <f>IF($G$197=0,0,Q250)</f>
        <v>263.0333333333333</v>
      </c>
      <c r="AD208" s="1068"/>
      <c r="AE208" s="1068">
        <f>SUM(AC208*12)</f>
        <v>3156.3999999999996</v>
      </c>
    </row>
    <row r="209" spans="1:31">
      <c r="C209" s="1148"/>
      <c r="D209" s="1148"/>
      <c r="E209" s="1066"/>
      <c r="F209" s="1148"/>
      <c r="G209" s="1148"/>
      <c r="H209" s="1066"/>
      <c r="J209" s="1149"/>
      <c r="K209" s="1062"/>
      <c r="L209" s="1149"/>
      <c r="M209" s="1149"/>
      <c r="N209" s="1062"/>
      <c r="O209" s="1149"/>
      <c r="Q209" s="1150"/>
      <c r="R209" s="1136"/>
      <c r="S209" s="1150"/>
      <c r="T209" s="1136"/>
      <c r="U209" s="1065"/>
      <c r="W209" s="1140"/>
      <c r="X209" s="1140"/>
      <c r="Y209" s="1140"/>
      <c r="Z209" s="1140"/>
      <c r="AA209" s="1151"/>
      <c r="AB209" s="1069"/>
      <c r="AC209" s="1068"/>
      <c r="AD209" s="1068"/>
      <c r="AE209" s="1068"/>
    </row>
    <row r="210" spans="1:31">
      <c r="A210" s="1318" t="s">
        <v>949</v>
      </c>
      <c r="B210" s="1318"/>
      <c r="C210" s="1148">
        <f>LOOKUP($G$197,$AE$2:$AI$2,AE11:AI11)</f>
        <v>12.225</v>
      </c>
      <c r="D210" s="1148">
        <f>LOOKUP($G$199,$AE$4:$AI$4,AE12:AI12)</f>
        <v>0</v>
      </c>
      <c r="E210" s="1066"/>
      <c r="F210" s="1148">
        <f>SUM(C210+D210)</f>
        <v>12.225</v>
      </c>
      <c r="G210" s="1148">
        <f t="shared" ref="G210" si="291">SUM(F210*52)/12</f>
        <v>52.974999999999994</v>
      </c>
      <c r="H210" s="1066"/>
      <c r="J210" s="1149">
        <f t="shared" ref="J210" si="292">LOOKUP($G$197,$AO$2:$AS$2,AO11:AS11)</f>
        <v>13.95</v>
      </c>
      <c r="K210" s="1062"/>
      <c r="L210" s="1149">
        <f>LOOKUP($G$199,$AO$4:$AS$4,AO12:AS12)</f>
        <v>0</v>
      </c>
      <c r="M210" s="1149">
        <f>SUM(J210+L210)</f>
        <v>13.95</v>
      </c>
      <c r="N210" s="1062"/>
      <c r="O210" s="1149">
        <f t="shared" ref="O210" si="293">SUM(M210*52)/12</f>
        <v>60.449999999999996</v>
      </c>
      <c r="Q210" s="1150">
        <f>IF($G$195="Yes",F210,IF($G$195="No",M210))</f>
        <v>13.95</v>
      </c>
      <c r="R210" s="1136"/>
      <c r="S210" s="1150">
        <f>SUM(Q210*52)/12</f>
        <v>60.449999999999996</v>
      </c>
      <c r="T210" s="1136" t="s">
        <v>565</v>
      </c>
      <c r="U210" s="1065"/>
      <c r="W210" s="1140" t="s">
        <v>985</v>
      </c>
      <c r="X210" s="1140"/>
      <c r="Y210" s="1140"/>
      <c r="Z210" s="1140"/>
      <c r="AA210" s="1151">
        <f>IF($G$197=0,0,S212)</f>
        <v>87.100000000000009</v>
      </c>
      <c r="AB210" s="1069"/>
      <c r="AC210" s="1068">
        <f>IF($G$197=0,0,Q254)</f>
        <v>87.1</v>
      </c>
      <c r="AD210" s="1068"/>
      <c r="AE210" s="1068">
        <f>SUM(AC210*12)</f>
        <v>1045.1999999999998</v>
      </c>
    </row>
    <row r="211" spans="1:31">
      <c r="C211" s="1148"/>
      <c r="D211" s="1148"/>
      <c r="E211" s="1066"/>
      <c r="F211" s="1148"/>
      <c r="G211" s="1148"/>
      <c r="H211" s="1066"/>
      <c r="J211" s="1149"/>
      <c r="K211" s="1062"/>
      <c r="L211" s="1149"/>
      <c r="M211" s="1149"/>
      <c r="N211" s="1062"/>
      <c r="O211" s="1149"/>
      <c r="Q211" s="1150"/>
      <c r="R211" s="1136"/>
      <c r="S211" s="1150"/>
      <c r="T211" s="1136"/>
      <c r="U211" s="1065"/>
      <c r="W211" s="1140"/>
      <c r="X211" s="1140"/>
      <c r="Y211" s="1140"/>
      <c r="Z211" s="1140"/>
      <c r="AA211" s="1151"/>
      <c r="AB211" s="1069"/>
      <c r="AC211" s="1068"/>
      <c r="AD211" s="1068"/>
      <c r="AE211" s="1068"/>
    </row>
    <row r="212" spans="1:31">
      <c r="A212" s="1318" t="s">
        <v>950</v>
      </c>
      <c r="B212" s="1318"/>
      <c r="C212" s="1148">
        <f>LOOKUP($G$197,$AE$2:$AI$2,AE13:AI13)</f>
        <v>18.2</v>
      </c>
      <c r="D212" s="1148">
        <f>LOOKUP($G$199,$AE$4:$AI$4,AE14:AI14)</f>
        <v>0</v>
      </c>
      <c r="E212" s="1066"/>
      <c r="F212" s="1148">
        <f>SUM(C212+D212)</f>
        <v>18.2</v>
      </c>
      <c r="G212" s="1148">
        <f t="shared" ref="G212" si="294">SUM(F212*52)/12</f>
        <v>78.86666666666666</v>
      </c>
      <c r="H212" s="1066"/>
      <c r="J212" s="1149">
        <f>LOOKUP($G$197,$AO$2:$AS$2,AO13:AS13)</f>
        <v>20.100000000000001</v>
      </c>
      <c r="K212" s="1062"/>
      <c r="L212" s="1149">
        <f>LOOKUP($G$199,$AO$4:$AS$4,AO14:AS14)</f>
        <v>0</v>
      </c>
      <c r="M212" s="1149">
        <f>SUM(J212+L212)</f>
        <v>20.100000000000001</v>
      </c>
      <c r="N212" s="1062"/>
      <c r="O212" s="1149">
        <f t="shared" ref="O212" si="295">SUM(M212*52)/12</f>
        <v>87.100000000000009</v>
      </c>
      <c r="Q212" s="1150">
        <f>IF($G$195="Yes",F212,IF($G$195="No",M212))</f>
        <v>20.100000000000001</v>
      </c>
      <c r="R212" s="1136"/>
      <c r="S212" s="1150">
        <f>SUM(Q212*52)/12</f>
        <v>87.100000000000009</v>
      </c>
      <c r="T212" s="1136"/>
      <c r="U212" s="1065"/>
      <c r="W212" s="1140" t="s">
        <v>986</v>
      </c>
      <c r="X212" s="1140"/>
      <c r="Y212" s="1140"/>
      <c r="Z212" s="1140"/>
      <c r="AA212" s="1151">
        <f>IF($G$197=0,0,S238)</f>
        <v>145.42016666666669</v>
      </c>
      <c r="AB212" s="1069"/>
      <c r="AC212" s="1068">
        <f>IF($G$197=0,0,Q280)</f>
        <v>145.42016666666666</v>
      </c>
      <c r="AD212" s="1068"/>
      <c r="AE212" s="1068">
        <f t="shared" ref="AE212" si="296">SUM(AC212*12)</f>
        <v>1745.0419999999999</v>
      </c>
    </row>
    <row r="213" spans="1:31">
      <c r="C213" s="1148"/>
      <c r="D213" s="1148"/>
      <c r="E213" s="1066"/>
      <c r="F213" s="1148"/>
      <c r="G213" s="1148"/>
      <c r="H213" s="1066"/>
      <c r="J213" s="1149"/>
      <c r="K213" s="1062"/>
      <c r="L213" s="1149"/>
      <c r="M213" s="1149"/>
      <c r="N213" s="1062"/>
      <c r="O213" s="1149"/>
      <c r="Q213" s="1150"/>
      <c r="R213" s="1136"/>
      <c r="S213" s="1150"/>
      <c r="T213" s="1136"/>
      <c r="U213" s="1065"/>
      <c r="W213" s="1152"/>
      <c r="X213" s="1152"/>
      <c r="Y213" s="1140"/>
      <c r="Z213" s="1140"/>
      <c r="AA213" s="1151"/>
      <c r="AB213" s="1069"/>
      <c r="AC213" s="1068"/>
      <c r="AD213" s="1068"/>
      <c r="AE213" s="1068"/>
    </row>
    <row r="214" spans="1:31">
      <c r="A214" s="1318" t="s">
        <v>951</v>
      </c>
      <c r="B214" s="1318"/>
      <c r="C214" s="1148">
        <f>LOOKUP($G$197,$AE$2:$AI$2,AE15:AI15)</f>
        <v>77.625</v>
      </c>
      <c r="D214" s="1148">
        <f>LOOKUP($G$199,$AE$4:$AI$4,AE16:AI16)</f>
        <v>0</v>
      </c>
      <c r="E214" s="1066"/>
      <c r="F214" s="1148">
        <f>SUM(C214+D214)</f>
        <v>77.625</v>
      </c>
      <c r="G214" s="1148">
        <f t="shared" ref="G214" si="297">SUM(F214*52)/12</f>
        <v>336.375</v>
      </c>
      <c r="H214" s="1066"/>
      <c r="J214" s="1149">
        <f>LOOKUP($G$197,$AO$2:$AS$2,AO15:AS15)</f>
        <v>95.149999999999991</v>
      </c>
      <c r="K214" s="1062"/>
      <c r="L214" s="1149">
        <f>LOOKUP($G$199,$AO$4:$AS$4,AO16:AS16)</f>
        <v>0</v>
      </c>
      <c r="M214" s="1149">
        <f>SUM(J214+L214)</f>
        <v>95.149999999999991</v>
      </c>
      <c r="N214" s="1062"/>
      <c r="O214" s="1149">
        <f t="shared" ref="O214" si="298">SUM(M214*52)/12</f>
        <v>412.31666666666661</v>
      </c>
      <c r="Q214" s="1150">
        <f>IF($G$195="Yes",F214,IF($G$195="No",M214))</f>
        <v>95.149999999999991</v>
      </c>
      <c r="R214" s="1136"/>
      <c r="S214" s="1150">
        <f>SUM(Q214*52)/12</f>
        <v>412.31666666666661</v>
      </c>
      <c r="T214" s="1136" t="s">
        <v>565</v>
      </c>
      <c r="U214" s="1065"/>
      <c r="W214" s="1140" t="s">
        <v>987</v>
      </c>
      <c r="X214" s="1140"/>
      <c r="Y214" s="1140"/>
      <c r="Z214" s="1140"/>
      <c r="AA214" s="1151">
        <f>IF($G$197=0,0,S216)</f>
        <v>162.71666666666667</v>
      </c>
      <c r="AB214" s="1069"/>
      <c r="AC214" s="1068">
        <f>IF($G$197=0,0,Q258)</f>
        <v>162.71666666666664</v>
      </c>
      <c r="AD214" s="1068"/>
      <c r="AE214" s="1068">
        <f t="shared" ref="AE214" si="299">SUM(AC214*12)</f>
        <v>1952.5999999999997</v>
      </c>
    </row>
    <row r="215" spans="1:31">
      <c r="A215" s="1067"/>
      <c r="B215" s="1067"/>
      <c r="C215" s="1148"/>
      <c r="D215" s="1148"/>
      <c r="E215" s="1066"/>
      <c r="F215" s="1148"/>
      <c r="G215" s="1148"/>
      <c r="H215" s="1066"/>
      <c r="J215" s="1149"/>
      <c r="K215" s="1062"/>
      <c r="L215" s="1149"/>
      <c r="M215" s="1149"/>
      <c r="N215" s="1062"/>
      <c r="O215" s="1149"/>
      <c r="Q215" s="1150"/>
      <c r="R215" s="1136"/>
      <c r="S215" s="1150"/>
      <c r="T215" s="1136"/>
      <c r="U215" s="1065"/>
      <c r="W215" s="1140"/>
      <c r="X215" s="1140"/>
      <c r="Y215" s="1140"/>
      <c r="Z215" s="1140"/>
      <c r="AA215" s="1151"/>
      <c r="AB215" s="1069"/>
      <c r="AC215" s="1068"/>
      <c r="AD215" s="1068"/>
      <c r="AE215" s="1068"/>
    </row>
    <row r="216" spans="1:31">
      <c r="A216" s="1318" t="s">
        <v>952</v>
      </c>
      <c r="B216" s="1318"/>
      <c r="C216" s="1148">
        <f>LOOKUP($G$197,$AE$2:$AI$2,AE17:AI17)</f>
        <v>34.424999999999997</v>
      </c>
      <c r="D216" s="1148">
        <f>LOOKUP($G$199,$AE$4:$AI$4,AE18:AI18)</f>
        <v>0</v>
      </c>
      <c r="E216" s="1066"/>
      <c r="F216" s="1148">
        <f>SUM(C216+D216)</f>
        <v>34.424999999999997</v>
      </c>
      <c r="G216" s="1148">
        <f t="shared" ref="G216" si="300">SUM(F216*52)/12</f>
        <v>149.17499999999998</v>
      </c>
      <c r="H216" s="1066"/>
      <c r="J216" s="1149">
        <f>LOOKUP($G$197,$AO$2:$AS$2,AO17:AS17)</f>
        <v>37.549999999999997</v>
      </c>
      <c r="K216" s="1062"/>
      <c r="L216" s="1149">
        <f>LOOKUP($G$199,$AO$4:$AS$4,AO18:AS18)</f>
        <v>0</v>
      </c>
      <c r="M216" s="1149">
        <f>SUM(J216+L216)</f>
        <v>37.549999999999997</v>
      </c>
      <c r="N216" s="1062"/>
      <c r="O216" s="1149">
        <f t="shared" ref="O216" si="301">SUM(M216*52)/12</f>
        <v>162.71666666666667</v>
      </c>
      <c r="Q216" s="1150">
        <f>IF($G$195="Yes",F216,IF($G$195="No",M216))</f>
        <v>37.549999999999997</v>
      </c>
      <c r="R216" s="1136"/>
      <c r="S216" s="1150">
        <f>SUM(Q216*52)/12</f>
        <v>162.71666666666667</v>
      </c>
      <c r="T216" s="1136"/>
      <c r="U216" s="1065"/>
      <c r="W216" s="1140" t="s">
        <v>65</v>
      </c>
      <c r="X216" s="1140"/>
      <c r="Y216" s="1140"/>
      <c r="Z216" s="1140"/>
      <c r="AA216" s="1151">
        <f>IF($G$197=0,0,S218)</f>
        <v>46.15</v>
      </c>
      <c r="AB216" s="1069"/>
      <c r="AC216" s="1068">
        <f>IF($G$197=0,0,Q260)</f>
        <v>46.149999999999991</v>
      </c>
      <c r="AD216" s="1068"/>
      <c r="AE216" s="1068">
        <f t="shared" ref="AE216" si="302">SUM(AC216*12)</f>
        <v>553.79999999999995</v>
      </c>
    </row>
    <row r="217" spans="1:31">
      <c r="C217" s="1148"/>
      <c r="D217" s="1148"/>
      <c r="E217" s="1066"/>
      <c r="F217" s="1148"/>
      <c r="G217" s="1148"/>
      <c r="H217" s="1066"/>
      <c r="J217" s="1149"/>
      <c r="K217" s="1062"/>
      <c r="L217" s="1149"/>
      <c r="M217" s="1149"/>
      <c r="N217" s="1062"/>
      <c r="O217" s="1149"/>
      <c r="Q217" s="1150"/>
      <c r="R217" s="1136"/>
      <c r="S217" s="1150"/>
      <c r="T217" s="1136"/>
      <c r="U217" s="1065"/>
      <c r="W217" s="1140"/>
      <c r="X217" s="1140"/>
      <c r="Y217" s="1140"/>
      <c r="Z217" s="1140"/>
      <c r="AA217" s="1151"/>
      <c r="AB217" s="1069"/>
      <c r="AC217" s="1068"/>
      <c r="AD217" s="1068"/>
      <c r="AE217" s="1068"/>
    </row>
    <row r="218" spans="1:31">
      <c r="A218" s="1318" t="s">
        <v>953</v>
      </c>
      <c r="B218" s="1318"/>
      <c r="C218" s="1148">
        <f>LOOKUP($G$197,$AE$2:$AI$2,AE19:AI19)</f>
        <v>11.899999999999999</v>
      </c>
      <c r="D218" s="1148">
        <f>LOOKUP($G$199,$AE$4:$AI$4,AE20:AI20)</f>
        <v>0</v>
      </c>
      <c r="E218" s="1066"/>
      <c r="F218" s="1148">
        <f>SUM(C218+D218)</f>
        <v>11.899999999999999</v>
      </c>
      <c r="G218" s="1148">
        <f t="shared" ref="G218" si="303">SUM(F218*52)/12</f>
        <v>51.566666666666663</v>
      </c>
      <c r="H218" s="1066"/>
      <c r="J218" s="1149">
        <f>LOOKUP($G$197,$AO$2:$AS$2,AO19:AS19)</f>
        <v>10.649999999999999</v>
      </c>
      <c r="K218" s="1062"/>
      <c r="L218" s="1149">
        <f>LOOKUP($G$199,$AO$4:$AS$4,AO20:AS20)</f>
        <v>0</v>
      </c>
      <c r="M218" s="1149">
        <f>SUM(J218+L218)</f>
        <v>10.649999999999999</v>
      </c>
      <c r="N218" s="1062"/>
      <c r="O218" s="1149">
        <f t="shared" ref="O218" si="304">SUM(M218*52)/12</f>
        <v>46.15</v>
      </c>
      <c r="Q218" s="1150">
        <f>IF($G$195="Yes",F218,IF($G$195="No",M218))</f>
        <v>10.649999999999999</v>
      </c>
      <c r="R218" s="1136"/>
      <c r="S218" s="1150">
        <f>SUM(Q218*52)/12</f>
        <v>46.15</v>
      </c>
      <c r="T218" s="1136"/>
      <c r="U218" s="1065"/>
      <c r="W218" s="1140" t="s">
        <v>988</v>
      </c>
      <c r="X218" s="1140"/>
      <c r="Y218" s="1140"/>
      <c r="Z218" s="1140"/>
      <c r="AA218" s="1151">
        <f>IF($G$197=0,0,S240)</f>
        <v>124.35561666666665</v>
      </c>
      <c r="AB218" s="1069"/>
      <c r="AC218" s="1068">
        <f>IF($G$197=0,0,Q282)</f>
        <v>124.35561666666665</v>
      </c>
      <c r="AD218" s="1068"/>
      <c r="AE218" s="1068">
        <f t="shared" ref="AE218" si="305">SUM(AC218*12)</f>
        <v>1492.2673999999997</v>
      </c>
    </row>
    <row r="219" spans="1:31">
      <c r="C219" s="1148"/>
      <c r="D219" s="1148"/>
      <c r="E219" s="1066"/>
      <c r="F219" s="1148"/>
      <c r="G219" s="1148"/>
      <c r="H219" s="1066"/>
      <c r="J219" s="1149"/>
      <c r="K219" s="1062"/>
      <c r="L219" s="1149"/>
      <c r="M219" s="1149"/>
      <c r="N219" s="1062"/>
      <c r="O219" s="1149"/>
      <c r="Q219" s="1150"/>
      <c r="R219" s="1136"/>
      <c r="S219" s="1150"/>
      <c r="T219" s="1136"/>
      <c r="U219" s="1065"/>
      <c r="W219" s="1140"/>
      <c r="X219" s="1140"/>
      <c r="Y219" s="1140"/>
      <c r="Z219" s="1140"/>
      <c r="AA219" s="1151"/>
      <c r="AB219" s="1069"/>
      <c r="AC219" s="1068"/>
      <c r="AD219" s="1068"/>
      <c r="AE219" s="1068"/>
    </row>
    <row r="220" spans="1:31">
      <c r="A220" s="1318" t="s">
        <v>954</v>
      </c>
      <c r="B220" s="1318"/>
      <c r="C220" s="1148">
        <f>LOOKUP($G$197,$AE$2:$AI$2,AE21:AI21)</f>
        <v>72.05</v>
      </c>
      <c r="D220" s="1148">
        <f>LOOKUP($G$199,$AE$4:$AI$4,AE22:AI22)</f>
        <v>0</v>
      </c>
      <c r="E220" s="1066"/>
      <c r="F220" s="1148">
        <f>SUM(C220+D220)</f>
        <v>72.05</v>
      </c>
      <c r="G220" s="1148">
        <f t="shared" ref="G220" si="306">SUM(F220*52)/12</f>
        <v>312.21666666666664</v>
      </c>
      <c r="H220" s="1066"/>
      <c r="J220" s="1149">
        <f>LOOKUP($G$197,$AO$2:$AS$2,AO21:AS21)</f>
        <v>84.25</v>
      </c>
      <c r="K220" s="1062"/>
      <c r="L220" s="1149">
        <f>LOOKUP($G$199,$AO$4:$AS$4,AO22:AS22)</f>
        <v>0</v>
      </c>
      <c r="M220" s="1149">
        <f>SUM(J220+L220)</f>
        <v>84.25</v>
      </c>
      <c r="N220" s="1062"/>
      <c r="O220" s="1149">
        <f t="shared" ref="O220" si="307">SUM(M220*52)/12</f>
        <v>365.08333333333331</v>
      </c>
      <c r="Q220" s="1150">
        <f>IF($G$195="Yes",F220,IF($G$195="No",M220))</f>
        <v>84.25</v>
      </c>
      <c r="R220" s="1136"/>
      <c r="S220" s="1150">
        <f>SUM(Q220*52)/12</f>
        <v>365.08333333333331</v>
      </c>
      <c r="T220" s="1136" t="s">
        <v>565</v>
      </c>
      <c r="U220" s="1065"/>
      <c r="W220" s="1140" t="s">
        <v>84</v>
      </c>
      <c r="X220" s="1140"/>
      <c r="Y220" s="1140"/>
      <c r="Z220" s="1140"/>
      <c r="AA220" s="1151">
        <f>IF($G$197=0,0,S222)</f>
        <v>98.583333333333329</v>
      </c>
      <c r="AB220" s="1069"/>
      <c r="AC220" s="1068">
        <f>IF($G$197=0,0,Q264)</f>
        <v>98.583333333333343</v>
      </c>
      <c r="AD220" s="1068"/>
      <c r="AE220" s="1068">
        <f t="shared" ref="AE220" si="308">SUM(AC220*12)</f>
        <v>1183</v>
      </c>
    </row>
    <row r="221" spans="1:31">
      <c r="C221" s="1148"/>
      <c r="D221" s="1148"/>
      <c r="E221" s="1066"/>
      <c r="F221" s="1148"/>
      <c r="G221" s="1148"/>
      <c r="H221" s="1066"/>
      <c r="J221" s="1149"/>
      <c r="K221" s="1062"/>
      <c r="L221" s="1149"/>
      <c r="M221" s="1149"/>
      <c r="N221" s="1062"/>
      <c r="O221" s="1149"/>
      <c r="Q221" s="1150"/>
      <c r="R221" s="1136"/>
      <c r="S221" s="1150"/>
      <c r="T221" s="1136"/>
      <c r="U221" s="1065"/>
      <c r="W221" s="1140"/>
      <c r="X221" s="1140"/>
      <c r="Y221" s="1140"/>
      <c r="Z221" s="1140"/>
      <c r="AA221" s="1151"/>
      <c r="AB221" s="1069"/>
      <c r="AC221" s="1068"/>
      <c r="AD221" s="1068"/>
      <c r="AE221" s="1068"/>
    </row>
    <row r="222" spans="1:31">
      <c r="A222" s="1318" t="s">
        <v>955</v>
      </c>
      <c r="B222" s="1318"/>
      <c r="C222" s="1148">
        <f>LOOKUP($G$197,$AE$2:$AI$2,AE23:AI23)</f>
        <v>21.274999999999999</v>
      </c>
      <c r="D222" s="1148">
        <f>LOOKUP($G$199,$AE$4:$AI$4,AE24:AI24)</f>
        <v>0</v>
      </c>
      <c r="E222" s="1066"/>
      <c r="F222" s="1148">
        <f>SUM(C222+D222)</f>
        <v>21.274999999999999</v>
      </c>
      <c r="G222" s="1148">
        <f t="shared" ref="G222" si="309">SUM(F222*52)/12</f>
        <v>92.191666666666663</v>
      </c>
      <c r="H222" s="1066"/>
      <c r="J222" s="1149">
        <f>LOOKUP($G$197,$AO$2:$AS$2,AO23:AS23)</f>
        <v>22.75</v>
      </c>
      <c r="K222" s="1062"/>
      <c r="L222" s="1149">
        <f>LOOKUP($G$199,$AO$4:$AS$4,AO24:AS24)</f>
        <v>0</v>
      </c>
      <c r="M222" s="1149">
        <f>SUM(J222+L222)</f>
        <v>22.75</v>
      </c>
      <c r="N222" s="1062"/>
      <c r="O222" s="1149">
        <f t="shared" ref="O222" si="310">SUM(M222*52)/12</f>
        <v>98.583333333333329</v>
      </c>
      <c r="Q222" s="1150">
        <f>IF($G$195="Yes",F222,IF($G$195="No",M222))</f>
        <v>22.75</v>
      </c>
      <c r="R222" s="1136"/>
      <c r="S222" s="1150">
        <f>SUM(Q222*52)/12</f>
        <v>98.583333333333329</v>
      </c>
      <c r="T222" s="1136"/>
      <c r="U222" s="1065"/>
      <c r="W222" s="1140" t="s">
        <v>989</v>
      </c>
      <c r="X222" s="1140"/>
      <c r="Y222" s="1140"/>
      <c r="Z222" s="1140"/>
      <c r="AA222" s="1151">
        <f>IF($G$197=0,0,S224)</f>
        <v>279.5</v>
      </c>
      <c r="AB222" s="1069"/>
      <c r="AC222" s="1068">
        <f>IF($G$197=0,0,Q266)</f>
        <v>279.5</v>
      </c>
      <c r="AD222" s="1068"/>
      <c r="AE222" s="1068">
        <f t="shared" ref="AE222" si="311">SUM(AC222*12)</f>
        <v>3354</v>
      </c>
    </row>
    <row r="223" spans="1:31">
      <c r="C223" s="1148"/>
      <c r="D223" s="1148"/>
      <c r="E223" s="1066"/>
      <c r="F223" s="1148"/>
      <c r="G223" s="1148"/>
      <c r="H223" s="1066"/>
      <c r="J223" s="1149"/>
      <c r="K223" s="1062"/>
      <c r="L223" s="1149"/>
      <c r="M223" s="1149"/>
      <c r="N223" s="1062"/>
      <c r="O223" s="1149"/>
      <c r="Q223" s="1150"/>
      <c r="R223" s="1136"/>
      <c r="S223" s="1150"/>
      <c r="T223" s="1136"/>
      <c r="U223" s="1065"/>
      <c r="W223" s="1140"/>
      <c r="X223" s="1140"/>
      <c r="Y223" s="1140"/>
      <c r="Z223" s="1140"/>
      <c r="AA223" s="1151"/>
      <c r="AB223" s="1069"/>
      <c r="AC223" s="1068"/>
      <c r="AD223" s="1068"/>
      <c r="AE223" s="1068"/>
    </row>
    <row r="224" spans="1:31">
      <c r="A224" s="1318" t="s">
        <v>956</v>
      </c>
      <c r="B224" s="1318"/>
      <c r="C224" s="1148">
        <f>LOOKUP($G$197,$AE$2:$AI$2,AE25:AI25)</f>
        <v>53.85</v>
      </c>
      <c r="D224" s="1148">
        <f>LOOKUP($G$199,$AE$4:$AI$4,AE26:AI26)</f>
        <v>0</v>
      </c>
      <c r="E224" s="1066"/>
      <c r="F224" s="1148">
        <f>SUM(C224+D224)</f>
        <v>53.85</v>
      </c>
      <c r="G224" s="1148">
        <f t="shared" ref="G224" si="312">SUM(F224*52)/12</f>
        <v>233.35000000000002</v>
      </c>
      <c r="H224" s="1066"/>
      <c r="J224" s="1149">
        <f>LOOKUP($G$197,$AO$2:$AS$2,AO25:AS25)</f>
        <v>64.5</v>
      </c>
      <c r="K224" s="1062"/>
      <c r="L224" s="1149">
        <f>LOOKUP($G$199,$AO$4:$AS$4,AO26:AS26)</f>
        <v>0</v>
      </c>
      <c r="M224" s="1149">
        <f>SUM(J224+L224)</f>
        <v>64.5</v>
      </c>
      <c r="N224" s="1062"/>
      <c r="O224" s="1149">
        <f t="shared" ref="O224" si="313">SUM(M224*52)/12</f>
        <v>279.5</v>
      </c>
      <c r="Q224" s="1150">
        <f>IF($G$195="Yes",F224,IF($G$195="No",M224))</f>
        <v>64.5</v>
      </c>
      <c r="R224" s="1136"/>
      <c r="S224" s="1150">
        <f>SUM(Q224*52)/12</f>
        <v>279.5</v>
      </c>
      <c r="T224" s="1136"/>
      <c r="U224" s="1065"/>
      <c r="W224" s="1140" t="s">
        <v>990</v>
      </c>
      <c r="X224" s="1140"/>
      <c r="Y224" s="1140"/>
      <c r="Z224" s="1140"/>
      <c r="AA224" s="1151">
        <f>IF($G$197=0,0,S242)</f>
        <v>60.295516666666664</v>
      </c>
      <c r="AB224" s="1069"/>
      <c r="AC224" s="1068">
        <f>IF($G$197=0,0,Q284)</f>
        <v>60.295516666666664</v>
      </c>
      <c r="AD224" s="1068"/>
      <c r="AE224" s="1068">
        <f>SUM(AC224*12)</f>
        <v>723.5462</v>
      </c>
    </row>
    <row r="225" spans="1:31">
      <c r="C225" s="1148"/>
      <c r="D225" s="1148"/>
      <c r="E225" s="1066"/>
      <c r="F225" s="1148"/>
      <c r="G225" s="1148"/>
      <c r="H225" s="1066"/>
      <c r="J225" s="1149"/>
      <c r="K225" s="1062"/>
      <c r="L225" s="1149"/>
      <c r="M225" s="1149"/>
      <c r="N225" s="1062"/>
      <c r="O225" s="1149"/>
      <c r="Q225" s="1150"/>
      <c r="R225" s="1136"/>
      <c r="S225" s="1150"/>
      <c r="T225" s="1136"/>
      <c r="U225" s="1065"/>
      <c r="W225" s="1140"/>
      <c r="X225" s="1140"/>
      <c r="Y225" s="1140"/>
      <c r="Z225" s="1140"/>
      <c r="AA225" s="1151"/>
      <c r="AB225" s="1069"/>
      <c r="AC225" s="1068"/>
      <c r="AD225" s="1068"/>
      <c r="AE225" s="1068"/>
    </row>
    <row r="226" spans="1:31" ht="13.8" thickBot="1">
      <c r="A226" s="1318" t="s">
        <v>957</v>
      </c>
      <c r="B226" s="1318"/>
      <c r="C226" s="1148">
        <f>LOOKUP($G$197,$AE$2:$AI$2,AE27:AI27)</f>
        <v>4.5</v>
      </c>
      <c r="D226" s="1148">
        <f>LOOKUP($G$199,$AE$4:$AI$4,AE28:AI28)</f>
        <v>0</v>
      </c>
      <c r="E226" s="1066"/>
      <c r="F226" s="1148">
        <f>SUM(C226+D226)</f>
        <v>4.5</v>
      </c>
      <c r="G226" s="1148">
        <f t="shared" ref="G226" si="314">SUM(F226*52)/12</f>
        <v>19.5</v>
      </c>
      <c r="H226" s="1066"/>
      <c r="J226" s="1149">
        <f>LOOKUP($G$197,$AO$2:$AS$2,AO27:AS27)</f>
        <v>6.4499999999999993</v>
      </c>
      <c r="K226" s="1062"/>
      <c r="L226" s="1149">
        <f>LOOKUP($G$199,$AO$4:$AS$4,AO28:AS28)</f>
        <v>0</v>
      </c>
      <c r="M226" s="1149">
        <f>SUM(J226+L226)</f>
        <v>6.4499999999999993</v>
      </c>
      <c r="N226" s="1062"/>
      <c r="O226" s="1149">
        <f t="shared" ref="O226" si="315">SUM(M226*52)/12</f>
        <v>27.95</v>
      </c>
      <c r="Q226" s="1150">
        <f>IF($G$195="Yes",F226,IF($G$195="No",M226))</f>
        <v>6.4499999999999993</v>
      </c>
      <c r="R226" s="1136"/>
      <c r="S226" s="1150">
        <f>SUM(Q226*52)/12</f>
        <v>27.95</v>
      </c>
      <c r="T226" s="1136" t="s">
        <v>565</v>
      </c>
      <c r="U226" s="1065"/>
      <c r="W226" s="1140"/>
      <c r="X226" s="1140"/>
      <c r="Y226" s="1140"/>
      <c r="Z226" s="1140" t="s">
        <v>2</v>
      </c>
      <c r="AA226" s="1153">
        <f>SUM(AA208:AA224)</f>
        <v>1267.1546333333333</v>
      </c>
      <c r="AB226" s="1069"/>
      <c r="AC226" s="1154">
        <f t="shared" ref="AC226" si="316">SUM(AC208:AC224)</f>
        <v>1267.1546333333331</v>
      </c>
      <c r="AD226" s="1068"/>
      <c r="AE226" s="1154">
        <f t="shared" ref="AE226" si="317">SUM(AE208:AE224)</f>
        <v>15205.855599999999</v>
      </c>
    </row>
    <row r="227" spans="1:31" ht="13.8" thickTop="1">
      <c r="C227" s="1148"/>
      <c r="D227" s="1148"/>
      <c r="E227" s="1066"/>
      <c r="F227" s="1148"/>
      <c r="G227" s="1148"/>
      <c r="H227" s="1066"/>
      <c r="J227" s="1149"/>
      <c r="K227" s="1062"/>
      <c r="L227" s="1149"/>
      <c r="M227" s="1149"/>
      <c r="N227" s="1062"/>
      <c r="O227" s="1149"/>
      <c r="Q227" s="1150"/>
      <c r="R227" s="1136"/>
      <c r="S227" s="1150"/>
      <c r="T227" s="1136"/>
      <c r="U227" s="1065"/>
    </row>
    <row r="228" spans="1:31">
      <c r="A228" s="1318" t="s">
        <v>958</v>
      </c>
      <c r="B228" s="1318"/>
      <c r="C228" s="1148">
        <f>LOOKUP($G$197,$AE$2:$AI$2,AE29:AI29)</f>
        <v>33.725000000000001</v>
      </c>
      <c r="D228" s="1148">
        <f>LOOKUP($G$199,$AE$4:$AI$4,AE30:AI30)</f>
        <v>0</v>
      </c>
      <c r="E228" s="1066"/>
      <c r="F228" s="1148">
        <f>SUM(C228+D228)</f>
        <v>33.725000000000001</v>
      </c>
      <c r="G228" s="1148">
        <f t="shared" ref="G228" si="318">SUM(F228*52)/12</f>
        <v>146.14166666666668</v>
      </c>
      <c r="H228" s="1066"/>
      <c r="J228" s="1149">
        <f>LOOKUP($G$197,$AO$2:$AS$2,AO29:AS29)</f>
        <v>38.5</v>
      </c>
      <c r="K228" s="1062"/>
      <c r="L228" s="1149">
        <f>LOOKUP($G$199,$AO$4:$AS$4,AO30:AS30)</f>
        <v>0</v>
      </c>
      <c r="M228" s="1149">
        <f>SUM(J228+L228)</f>
        <v>38.5</v>
      </c>
      <c r="N228" s="1155"/>
      <c r="O228" s="1149">
        <f t="shared" ref="O228" si="319">SUM(M228*52)/12</f>
        <v>166.83333333333334</v>
      </c>
      <c r="Q228" s="1150">
        <f>IF($G$195="Yes",F228,IF($G$195="No",M228))</f>
        <v>38.5</v>
      </c>
      <c r="R228" s="1136"/>
      <c r="S228" s="1150">
        <f>SUM(Q228*52)/12</f>
        <v>166.83333333333334</v>
      </c>
      <c r="T228" s="1136" t="s">
        <v>565</v>
      </c>
      <c r="U228" s="1065"/>
    </row>
    <row r="229" spans="1:31">
      <c r="C229" s="1148"/>
      <c r="D229" s="1148"/>
      <c r="E229" s="1066"/>
      <c r="F229" s="1148"/>
      <c r="G229" s="1148"/>
      <c r="H229" s="1066"/>
      <c r="J229" s="1149"/>
      <c r="K229" s="1062"/>
      <c r="L229" s="1149"/>
      <c r="M229" s="1149"/>
      <c r="N229" s="1155"/>
      <c r="O229" s="1149"/>
      <c r="Q229" s="1150"/>
      <c r="R229" s="1136"/>
      <c r="S229" s="1150"/>
      <c r="T229" s="1136"/>
      <c r="U229" s="1065"/>
    </row>
    <row r="230" spans="1:31">
      <c r="A230" s="1318" t="s">
        <v>959</v>
      </c>
      <c r="B230" s="1318"/>
      <c r="C230" s="1148">
        <f>LOOKUP($G$197,$AE$2:$AI$2,AE31:AI31)</f>
        <v>39.75</v>
      </c>
      <c r="D230" s="1148">
        <f>LOOKUP($G$199,$AE$4:$AI$4,AE32:AI32)</f>
        <v>0</v>
      </c>
      <c r="E230" s="1066"/>
      <c r="F230" s="1148">
        <f>SUM(C230+D230)</f>
        <v>39.75</v>
      </c>
      <c r="G230" s="1148">
        <f t="shared" ref="G230" si="320">SUM(F230*52)/12</f>
        <v>172.25</v>
      </c>
      <c r="H230" s="1066"/>
      <c r="J230" s="1149">
        <f>LOOKUP($G$197,$AO$2:$AS$2,AO31:AS31)</f>
        <v>39</v>
      </c>
      <c r="K230" s="1062"/>
      <c r="L230" s="1149">
        <f>LOOKUP($G$199,$AO$4:$AS$4,AO32:AS32)</f>
        <v>0</v>
      </c>
      <c r="M230" s="1149">
        <f>SUM(J230+L230)</f>
        <v>39</v>
      </c>
      <c r="N230" s="1155"/>
      <c r="O230" s="1149">
        <f t="shared" ref="O230" si="321">SUM(M230*52)/12</f>
        <v>169</v>
      </c>
      <c r="Q230" s="1150">
        <f>IF($G$195="Yes",F230,IF($G$195="No",M230))</f>
        <v>39</v>
      </c>
      <c r="R230" s="1136"/>
      <c r="S230" s="1150">
        <f>SUM(Q230*52)/12</f>
        <v>169</v>
      </c>
      <c r="T230" s="1136" t="s">
        <v>565</v>
      </c>
      <c r="U230" s="1065"/>
    </row>
    <row r="231" spans="1:31">
      <c r="C231" s="1066"/>
      <c r="D231" s="1066"/>
      <c r="E231" s="1066"/>
      <c r="F231" s="1066"/>
      <c r="G231" s="1148"/>
      <c r="H231" s="1066"/>
      <c r="J231" s="1062"/>
      <c r="K231" s="1062"/>
      <c r="L231" s="1149"/>
      <c r="M231" s="1062"/>
      <c r="N231" s="1062"/>
      <c r="O231" s="1062"/>
      <c r="Q231" s="1136"/>
      <c r="R231" s="1150"/>
      <c r="S231" s="1136"/>
      <c r="T231" s="1136"/>
      <c r="U231" s="1065"/>
    </row>
    <row r="232" spans="1:31">
      <c r="G232" s="1156"/>
      <c r="R232" s="1156"/>
      <c r="U232" s="1065"/>
    </row>
    <row r="233" spans="1:31">
      <c r="C233" s="1329" t="s">
        <v>977</v>
      </c>
      <c r="D233" s="1329"/>
      <c r="E233" s="1329"/>
      <c r="F233" s="1329"/>
      <c r="G233" s="1329"/>
      <c r="H233" s="1329"/>
      <c r="J233" s="1331" t="s">
        <v>978</v>
      </c>
      <c r="K233" s="1331"/>
      <c r="L233" s="1331"/>
      <c r="M233" s="1331"/>
      <c r="N233" s="1331"/>
      <c r="O233" s="1331"/>
      <c r="Q233" s="1332" t="s">
        <v>979</v>
      </c>
      <c r="R233" s="1332"/>
      <c r="S233" s="1332"/>
      <c r="T233" s="1332"/>
      <c r="U233" s="1065"/>
    </row>
    <row r="234" spans="1:31">
      <c r="C234" s="1132" t="s">
        <v>975</v>
      </c>
      <c r="D234" s="1132" t="s">
        <v>976</v>
      </c>
      <c r="E234" s="1066"/>
      <c r="F234" s="1329" t="s">
        <v>980</v>
      </c>
      <c r="G234" s="1329"/>
      <c r="H234" s="1329"/>
      <c r="J234" s="1134" t="s">
        <v>975</v>
      </c>
      <c r="K234" s="1062"/>
      <c r="L234" s="1134" t="s">
        <v>976</v>
      </c>
      <c r="M234" s="1331" t="s">
        <v>980</v>
      </c>
      <c r="N234" s="1331"/>
      <c r="O234" s="1331"/>
      <c r="Q234" s="1332" t="s">
        <v>991</v>
      </c>
      <c r="R234" s="1332"/>
      <c r="S234" s="1332"/>
      <c r="T234" s="1136"/>
      <c r="U234" s="1065"/>
    </row>
    <row r="235" spans="1:31">
      <c r="A235" s="1046" t="s">
        <v>960</v>
      </c>
      <c r="C235" s="1066">
        <f>$G$197</f>
        <v>2</v>
      </c>
      <c r="D235" s="1066">
        <f>G199</f>
        <v>0</v>
      </c>
      <c r="E235" s="1066"/>
      <c r="F235" s="1132" t="s">
        <v>13</v>
      </c>
      <c r="G235" s="1157" t="s">
        <v>7</v>
      </c>
      <c r="H235" s="1066"/>
      <c r="J235" s="1062">
        <f>$G$197</f>
        <v>2</v>
      </c>
      <c r="K235" s="1062"/>
      <c r="L235" s="1062">
        <f>G199</f>
        <v>0</v>
      </c>
      <c r="M235" s="1134" t="s">
        <v>13</v>
      </c>
      <c r="N235" s="1062"/>
      <c r="O235" s="1158" t="s">
        <v>7</v>
      </c>
      <c r="Q235" s="1144" t="s">
        <v>13</v>
      </c>
      <c r="R235" s="1136"/>
      <c r="S235" s="1159" t="s">
        <v>7</v>
      </c>
      <c r="T235" s="1136"/>
      <c r="U235" s="1065"/>
    </row>
    <row r="236" spans="1:31">
      <c r="A236" s="1046"/>
      <c r="C236" s="1066"/>
      <c r="D236" s="1066"/>
      <c r="E236" s="1066"/>
      <c r="F236" s="1132"/>
      <c r="G236" s="1157"/>
      <c r="H236" s="1066"/>
      <c r="J236" s="1062"/>
      <c r="K236" s="1062"/>
      <c r="L236" s="1062"/>
      <c r="M236" s="1134"/>
      <c r="N236" s="1062"/>
      <c r="O236" s="1158"/>
      <c r="Q236" s="1144"/>
      <c r="R236" s="1136"/>
      <c r="S236" s="1159"/>
      <c r="T236" s="1160" t="str">
        <f>T205</f>
        <v>Non-retired</v>
      </c>
      <c r="U236" s="1065"/>
    </row>
    <row r="237" spans="1:31">
      <c r="G237" s="1156"/>
      <c r="U237" s="1065"/>
    </row>
    <row r="238" spans="1:31">
      <c r="A238" s="1318" t="s">
        <v>992</v>
      </c>
      <c r="B238" s="1318"/>
      <c r="C238" s="1161">
        <f>LOOKUP($G$197,$AE$49:$AI$49,AE88:AI88)</f>
        <v>148.66962499999997</v>
      </c>
      <c r="D238" s="1161">
        <f>LOOKUP($G$199,$AE$4:$AI$4,AE43:AI43)</f>
        <v>0</v>
      </c>
      <c r="E238" s="1161"/>
      <c r="F238" s="1161">
        <f>SUM(C238+D238)</f>
        <v>148.66962499999997</v>
      </c>
      <c r="G238" s="1161">
        <f t="shared" ref="G238" si="322">SUM(F238*52)/12</f>
        <v>644.23504166666646</v>
      </c>
      <c r="H238" s="1156"/>
      <c r="I238" s="1156"/>
      <c r="J238" s="1161">
        <f>LOOKUP($G$197,$AO$2:$AS$2,AO42:AS42)</f>
        <v>33.558500000000002</v>
      </c>
      <c r="K238" s="1161"/>
      <c r="L238" s="1161">
        <f>LOOKUP($G$199,$AO$4:$AS$4,AO43:AS43)</f>
        <v>0</v>
      </c>
      <c r="M238" s="1161">
        <f>SUM(J238+L238)</f>
        <v>33.558500000000002</v>
      </c>
      <c r="N238" s="1161"/>
      <c r="O238" s="1161">
        <f>SUM(M238*52)/12</f>
        <v>145.42016666666669</v>
      </c>
      <c r="P238" s="1156"/>
      <c r="Q238" s="1161">
        <f>IF($G$195="Yes",F238,IF($G195="No",M238))</f>
        <v>33.558500000000002</v>
      </c>
      <c r="R238" s="1161"/>
      <c r="S238" s="1161">
        <f>SUM(Q238*52)/12</f>
        <v>145.42016666666669</v>
      </c>
      <c r="U238" s="1065"/>
    </row>
    <row r="239" spans="1:31">
      <c r="C239" s="1161"/>
      <c r="D239" s="1156"/>
      <c r="E239" s="1156"/>
      <c r="F239" s="1156"/>
      <c r="G239" s="1156"/>
      <c r="H239" s="1156"/>
      <c r="I239" s="1156"/>
      <c r="J239" s="1156"/>
      <c r="K239" s="1156"/>
      <c r="L239" s="1156"/>
      <c r="M239" s="1156"/>
      <c r="N239" s="1156"/>
      <c r="O239" s="1156"/>
      <c r="P239" s="1156"/>
      <c r="Q239" s="1156"/>
      <c r="R239" s="1156"/>
      <c r="S239" s="1156"/>
      <c r="U239" s="1065"/>
    </row>
    <row r="240" spans="1:31">
      <c r="A240" s="1318" t="s">
        <v>993</v>
      </c>
      <c r="B240" s="1318"/>
      <c r="C240" s="1161">
        <f>LOOKUP($G$197,$AE$2:$AI$2,AE36:AI36)</f>
        <v>24.091049999999999</v>
      </c>
      <c r="D240" s="1161">
        <f>LOOKUP($G$199,$AE$4:$AI$4,AE37:AI37)</f>
        <v>0</v>
      </c>
      <c r="E240" s="1161"/>
      <c r="F240" s="1161">
        <f>SUM(C240+D240)</f>
        <v>24.091049999999999</v>
      </c>
      <c r="G240" s="1161">
        <f t="shared" ref="G240" si="323">SUM(F240*52)/12</f>
        <v>104.39455</v>
      </c>
      <c r="H240" s="1156"/>
      <c r="I240" s="1156"/>
      <c r="J240" s="1161">
        <f>LOOKUP($G$197,$AO$2:$AS$2,AO36:AS36)</f>
        <v>28.697449999999996</v>
      </c>
      <c r="K240" s="1161"/>
      <c r="L240" s="1161">
        <f>LOOKUP($G$199,$AO$4:$AS$4,AO37:AS37)</f>
        <v>0</v>
      </c>
      <c r="M240" s="1161">
        <f>SUM(J240+L240)</f>
        <v>28.697449999999996</v>
      </c>
      <c r="N240" s="1161"/>
      <c r="O240" s="1161">
        <f t="shared" ref="O240" si="324">SUM(M240*52)/12</f>
        <v>124.35561666666665</v>
      </c>
      <c r="P240" s="1156"/>
      <c r="Q240" s="1161">
        <f>IF($G$195="Yes",F240,IF($G$195="No",M240))</f>
        <v>28.697449999999996</v>
      </c>
      <c r="R240" s="1161"/>
      <c r="S240" s="1161">
        <f>SUM(Q240*52)/12</f>
        <v>124.35561666666665</v>
      </c>
      <c r="U240" s="1065"/>
    </row>
    <row r="241" spans="1:21">
      <c r="C241" s="1161"/>
      <c r="D241" s="1156"/>
      <c r="E241" s="1156"/>
      <c r="F241" s="1156"/>
      <c r="G241" s="1156"/>
      <c r="H241" s="1156"/>
      <c r="I241" s="1156"/>
      <c r="J241" s="1156"/>
      <c r="K241" s="1156"/>
      <c r="L241" s="1156"/>
      <c r="M241" s="1156"/>
      <c r="N241" s="1156"/>
      <c r="O241" s="1156"/>
      <c r="P241" s="1156"/>
      <c r="Q241" s="1156"/>
      <c r="R241" s="1156"/>
      <c r="S241" s="1156"/>
      <c r="U241" s="1065"/>
    </row>
    <row r="242" spans="1:21">
      <c r="A242" s="1318" t="s">
        <v>994</v>
      </c>
      <c r="B242" s="1318"/>
      <c r="C242" s="1161">
        <f>LOOKUP($G$197,$AE$2:$AI$2,AE39:AI39)</f>
        <v>13.743350000000001</v>
      </c>
      <c r="D242" s="1161">
        <f>LOOKUP($G$199,$AE$4:$AI$4,AE40:AI40)</f>
        <v>0</v>
      </c>
      <c r="E242" s="1161"/>
      <c r="F242" s="1161">
        <f>SUM(C242+D242)</f>
        <v>13.743350000000001</v>
      </c>
      <c r="G242" s="1161">
        <f t="shared" ref="G242" si="325">SUM(F242*52)/12</f>
        <v>59.554516666666672</v>
      </c>
      <c r="H242" s="1156"/>
      <c r="I242" s="1156"/>
      <c r="J242" s="1161">
        <f>LOOKUP($G$197,$AO$2:$AS$2,AO39:AS39)</f>
        <v>13.914349999999999</v>
      </c>
      <c r="K242" s="1161"/>
      <c r="L242" s="1161">
        <f>LOOKUP($G$199,$AO$4:$AS$4,AO40:AS40)</f>
        <v>0</v>
      </c>
      <c r="M242" s="1161">
        <f>SUM(J242+L242)</f>
        <v>13.914349999999999</v>
      </c>
      <c r="N242" s="1161"/>
      <c r="O242" s="1161">
        <f t="shared" ref="O242" si="326">SUM(M242*52)/12</f>
        <v>60.295516666666664</v>
      </c>
      <c r="P242" s="1156"/>
      <c r="Q242" s="1161">
        <f>IF($G$195="Yes",F242,IF($G$195="No",M242))</f>
        <v>13.914349999999999</v>
      </c>
      <c r="R242" s="1161"/>
      <c r="S242" s="1161">
        <f>SUM(Q242*52)/12</f>
        <v>60.295516666666664</v>
      </c>
      <c r="U242" s="1065"/>
    </row>
    <row r="243" spans="1:21">
      <c r="U243" s="1065"/>
    </row>
    <row r="244" spans="1:21">
      <c r="U244" s="1065"/>
    </row>
    <row r="245" spans="1:21">
      <c r="U245" s="1065"/>
    </row>
    <row r="246" spans="1:21">
      <c r="U246" s="1065"/>
    </row>
    <row r="247" spans="1:21">
      <c r="C247" s="1329" t="s">
        <v>977</v>
      </c>
      <c r="D247" s="1329"/>
      <c r="E247" s="1329"/>
      <c r="F247" s="1329"/>
      <c r="G247" s="1329"/>
      <c r="H247" s="1329"/>
      <c r="J247" s="1331" t="s">
        <v>978</v>
      </c>
      <c r="K247" s="1331"/>
      <c r="L247" s="1331"/>
      <c r="M247" s="1331"/>
      <c r="N247" s="1331"/>
      <c r="O247" s="1331"/>
      <c r="Q247" s="1332" t="s">
        <v>979</v>
      </c>
      <c r="R247" s="1332"/>
      <c r="S247" s="1332"/>
      <c r="T247" s="1332"/>
      <c r="U247" s="1065"/>
    </row>
    <row r="248" spans="1:21">
      <c r="A248" s="1131" t="s">
        <v>1001</v>
      </c>
      <c r="C248" s="1132" t="s">
        <v>975</v>
      </c>
      <c r="D248" s="1132" t="s">
        <v>976</v>
      </c>
      <c r="E248" s="1066"/>
      <c r="F248" s="1133" t="s">
        <v>980</v>
      </c>
      <c r="G248" s="1066"/>
      <c r="H248" s="1066"/>
      <c r="J248" s="1134" t="s">
        <v>975</v>
      </c>
      <c r="K248" s="1062"/>
      <c r="L248" s="1134" t="s">
        <v>976</v>
      </c>
      <c r="M248" s="1135" t="s">
        <v>980</v>
      </c>
      <c r="N248" s="1062"/>
      <c r="O248" s="1062"/>
      <c r="Q248" s="1332" t="s">
        <v>980</v>
      </c>
      <c r="R248" s="1332"/>
      <c r="S248" s="1332"/>
      <c r="T248" s="1136"/>
      <c r="U248" s="1065"/>
    </row>
    <row r="249" spans="1:21">
      <c r="C249" s="1066">
        <f>$G$197</f>
        <v>2</v>
      </c>
      <c r="D249" s="1066">
        <f>$G$199</f>
        <v>0</v>
      </c>
      <c r="E249" s="1066"/>
      <c r="F249" s="1066"/>
      <c r="G249" s="1132" t="s">
        <v>7</v>
      </c>
      <c r="H249" s="1066"/>
      <c r="J249" s="1062">
        <f>$G$197</f>
        <v>2</v>
      </c>
      <c r="K249" s="1062"/>
      <c r="L249" s="1062">
        <f>$G$199</f>
        <v>0</v>
      </c>
      <c r="M249" s="1062"/>
      <c r="N249" s="1134"/>
      <c r="O249" s="1134" t="s">
        <v>7</v>
      </c>
      <c r="Q249" s="1144" t="s">
        <v>7</v>
      </c>
      <c r="R249" s="1144"/>
      <c r="S249" s="1136"/>
      <c r="T249" s="1162" t="str">
        <f>IF($G$97="Yes","Retired",IF($G$97="No","Non-retired"))</f>
        <v>Non-retired</v>
      </c>
      <c r="U249" s="1065"/>
    </row>
    <row r="250" spans="1:21">
      <c r="A250" s="1067" t="s">
        <v>947</v>
      </c>
      <c r="B250" s="1067"/>
      <c r="C250" s="1148">
        <f>LOOKUP($G$197,$AE$49:$AI$49,AE55:AI55)</f>
        <v>265.74166666666667</v>
      </c>
      <c r="D250" s="1148">
        <f>LOOKUP($G$199,$AE$51:$AI$51,AE56:AI56)</f>
        <v>0</v>
      </c>
      <c r="E250" s="1066"/>
      <c r="F250" s="1066"/>
      <c r="G250" s="1148">
        <f>SUM(C250+D250)</f>
        <v>265.74166666666667</v>
      </c>
      <c r="H250" s="1066"/>
      <c r="J250" s="1149">
        <f>LOOKUP($G$197,$AO$49:$AS$49,AO55:AS55)</f>
        <v>263.0333333333333</v>
      </c>
      <c r="K250" s="1062"/>
      <c r="L250" s="1149">
        <f>LOOKUP($G$199,$AO$51:$AS$51,AO56:AS56)</f>
        <v>0</v>
      </c>
      <c r="M250" s="1062"/>
      <c r="N250" s="1062"/>
      <c r="O250" s="1149">
        <f>SUM(J250+L250)</f>
        <v>263.0333333333333</v>
      </c>
      <c r="Q250" s="1150">
        <f>IF($G$195="Yes",G250,IF($G$195="No",O250))</f>
        <v>263.0333333333333</v>
      </c>
      <c r="R250" s="1136"/>
      <c r="S250" s="1136"/>
      <c r="T250" s="1136"/>
      <c r="U250" s="1065"/>
    </row>
    <row r="251" spans="1:21">
      <c r="C251" s="1148"/>
      <c r="D251" s="1148"/>
      <c r="E251" s="1066"/>
      <c r="F251" s="1066"/>
      <c r="G251" s="1148"/>
      <c r="H251" s="1066"/>
      <c r="J251" s="1149"/>
      <c r="K251" s="1062"/>
      <c r="L251" s="1149"/>
      <c r="M251" s="1062"/>
      <c r="N251" s="1062"/>
      <c r="O251" s="1149"/>
      <c r="Q251" s="1150"/>
      <c r="R251" s="1136"/>
      <c r="S251" s="1136"/>
      <c r="T251" s="1136"/>
      <c r="U251" s="1065"/>
    </row>
    <row r="252" spans="1:21">
      <c r="A252" s="1067" t="s">
        <v>949</v>
      </c>
      <c r="B252" s="1067"/>
      <c r="C252" s="1148">
        <f>LOOKUP($G$197,$AE$49:$AI$49,AE57:AI57)</f>
        <v>52.974999999999994</v>
      </c>
      <c r="D252" s="1148">
        <f>LOOKUP($G$199,$AE$51:$AI$51,AE58:AI58)</f>
        <v>0</v>
      </c>
      <c r="E252" s="1066"/>
      <c r="F252" s="1066"/>
      <c r="G252" s="1148">
        <f>SUM(C252+D252)</f>
        <v>52.974999999999994</v>
      </c>
      <c r="H252" s="1066"/>
      <c r="J252" s="1149">
        <f>LOOKUP($G$197,$AO$49:$AS$49,AO57:AS57)</f>
        <v>60.449999999999989</v>
      </c>
      <c r="K252" s="1062"/>
      <c r="L252" s="1149">
        <f>LOOKUP($G$199,$AO$51:$AS$51,AO58:AS58)</f>
        <v>0</v>
      </c>
      <c r="M252" s="1062"/>
      <c r="N252" s="1062"/>
      <c r="O252" s="1149">
        <f>SUM(J252+L252)</f>
        <v>60.449999999999989</v>
      </c>
      <c r="Q252" s="1150">
        <f>IF($G$195="Yes",G252,IF($G195="No",O252))</f>
        <v>60.449999999999989</v>
      </c>
      <c r="R252" s="1136"/>
      <c r="S252" s="1136" t="s">
        <v>565</v>
      </c>
      <c r="T252" s="1136"/>
      <c r="U252" s="1065"/>
    </row>
    <row r="253" spans="1:21">
      <c r="C253" s="1148"/>
      <c r="D253" s="1148"/>
      <c r="E253" s="1066"/>
      <c r="F253" s="1066"/>
      <c r="G253" s="1148"/>
      <c r="H253" s="1066"/>
      <c r="J253" s="1149"/>
      <c r="K253" s="1062"/>
      <c r="L253" s="1149"/>
      <c r="M253" s="1062"/>
      <c r="N253" s="1062"/>
      <c r="O253" s="1149"/>
      <c r="Q253" s="1150"/>
      <c r="R253" s="1136"/>
      <c r="S253" s="1136"/>
      <c r="T253" s="1136"/>
      <c r="U253" s="1065"/>
    </row>
    <row r="254" spans="1:21">
      <c r="A254" s="1067" t="s">
        <v>950</v>
      </c>
      <c r="B254" s="1067"/>
      <c r="C254" s="1148">
        <f>LOOKUP($G$197,$AE$49:$AI$49,AE59:AI59)</f>
        <v>78.86666666666666</v>
      </c>
      <c r="D254" s="1148">
        <f>LOOKUP($G$199,$AE$51:$AI$51,AE60:AI60)</f>
        <v>0</v>
      </c>
      <c r="E254" s="1066"/>
      <c r="F254" s="1066"/>
      <c r="G254" s="1148">
        <f>SUM(C254+D254)</f>
        <v>78.86666666666666</v>
      </c>
      <c r="H254" s="1066"/>
      <c r="J254" s="1149">
        <f>LOOKUP($G$197,$AO$49:$AS$49,AO59:AS59)</f>
        <v>87.1</v>
      </c>
      <c r="K254" s="1062"/>
      <c r="L254" s="1149">
        <f>LOOKUP($G$199,$AO$51:$AS$51,AO60:AS60)</f>
        <v>0</v>
      </c>
      <c r="M254" s="1062"/>
      <c r="N254" s="1062"/>
      <c r="O254" s="1149">
        <f>SUM(J254+L254)</f>
        <v>87.1</v>
      </c>
      <c r="Q254" s="1150">
        <f>IF($G$195="Yes",G254,IF($G195="No",O254))</f>
        <v>87.1</v>
      </c>
      <c r="R254" s="1136"/>
      <c r="S254" s="1136"/>
      <c r="T254" s="1136"/>
      <c r="U254" s="1065"/>
    </row>
    <row r="255" spans="1:21">
      <c r="C255" s="1148"/>
      <c r="D255" s="1148"/>
      <c r="E255" s="1066"/>
      <c r="F255" s="1066"/>
      <c r="G255" s="1148"/>
      <c r="H255" s="1066"/>
      <c r="J255" s="1149"/>
      <c r="K255" s="1062"/>
      <c r="L255" s="1149"/>
      <c r="M255" s="1062"/>
      <c r="N255" s="1062"/>
      <c r="O255" s="1149"/>
      <c r="Q255" s="1150"/>
      <c r="R255" s="1136"/>
      <c r="S255" s="1136"/>
      <c r="T255" s="1136"/>
      <c r="U255" s="1065"/>
    </row>
    <row r="256" spans="1:21">
      <c r="A256" s="1067" t="s">
        <v>951</v>
      </c>
      <c r="B256" s="1067"/>
      <c r="C256" s="1148">
        <f>LOOKUP($G$197,$AE$49:$AI$49,AE61:AI61)</f>
        <v>336.375</v>
      </c>
      <c r="D256" s="1148">
        <f>LOOKUP($G$199,$AE$51:$AI$51,AE62:AI62)</f>
        <v>0</v>
      </c>
      <c r="E256" s="1066"/>
      <c r="F256" s="1066"/>
      <c r="G256" s="1148">
        <f>SUM(C256+D256)</f>
        <v>336.375</v>
      </c>
      <c r="H256" s="1066"/>
      <c r="J256" s="1149">
        <f>LOOKUP($G$197,$AO$49:$AS$49,AO61:AS61)</f>
        <v>412.31666666666661</v>
      </c>
      <c r="K256" s="1062"/>
      <c r="L256" s="1149">
        <f>LOOKUP($G$199,$AO$51:$AS$51,AO62:AS62)</f>
        <v>0</v>
      </c>
      <c r="M256" s="1062"/>
      <c r="N256" s="1062"/>
      <c r="O256" s="1149">
        <f>SUM(J256+L256)</f>
        <v>412.31666666666661</v>
      </c>
      <c r="Q256" s="1150">
        <f>IF($G$195="Yes",G256,IF($G195="No",O256))</f>
        <v>412.31666666666661</v>
      </c>
      <c r="R256" s="1136"/>
      <c r="S256" s="1136" t="s">
        <v>565</v>
      </c>
      <c r="T256" s="1136"/>
      <c r="U256" s="1065"/>
    </row>
    <row r="257" spans="1:21">
      <c r="A257" s="1067"/>
      <c r="B257" s="1067"/>
      <c r="C257" s="1148"/>
      <c r="D257" s="1148"/>
      <c r="E257" s="1066"/>
      <c r="F257" s="1066"/>
      <c r="G257" s="1148"/>
      <c r="H257" s="1066"/>
      <c r="J257" s="1149"/>
      <c r="K257" s="1062"/>
      <c r="L257" s="1149"/>
      <c r="M257" s="1062"/>
      <c r="N257" s="1062"/>
      <c r="O257" s="1149"/>
      <c r="Q257" s="1150"/>
      <c r="R257" s="1136"/>
      <c r="S257" s="1136"/>
      <c r="T257" s="1136"/>
      <c r="U257" s="1065"/>
    </row>
    <row r="258" spans="1:21">
      <c r="A258" s="1067" t="s">
        <v>952</v>
      </c>
      <c r="B258" s="1067"/>
      <c r="C258" s="1148">
        <f>LOOKUP($G$197,$AE$49:$AI$49,AE63:AI63)</f>
        <v>149.17499999999998</v>
      </c>
      <c r="D258" s="1148">
        <f>LOOKUP($G$199,$AE$51:$AI$51,AE64:AI64)</f>
        <v>0</v>
      </c>
      <c r="E258" s="1066"/>
      <c r="F258" s="1066"/>
      <c r="G258" s="1148">
        <f>SUM(C258+D258)</f>
        <v>149.17499999999998</v>
      </c>
      <c r="H258" s="1066"/>
      <c r="J258" s="1149">
        <f>LOOKUP($G$197,$AO$49:$AS$49,AO63:AS63)</f>
        <v>162.71666666666664</v>
      </c>
      <c r="K258" s="1062"/>
      <c r="L258" s="1149">
        <f>LOOKUP($G$199,$AO$51:$AS$51,AO64:AS64)</f>
        <v>0</v>
      </c>
      <c r="M258" s="1062"/>
      <c r="N258" s="1062"/>
      <c r="O258" s="1149">
        <f>SUM(J258+L258)</f>
        <v>162.71666666666664</v>
      </c>
      <c r="Q258" s="1150">
        <f>IF($G$195="Yes",G258,IF($G$195="No",O258))</f>
        <v>162.71666666666664</v>
      </c>
      <c r="R258" s="1136"/>
      <c r="S258" s="1136"/>
      <c r="T258" s="1136"/>
      <c r="U258" s="1065"/>
    </row>
    <row r="259" spans="1:21">
      <c r="C259" s="1148"/>
      <c r="D259" s="1148"/>
      <c r="E259" s="1066"/>
      <c r="F259" s="1066"/>
      <c r="G259" s="1148"/>
      <c r="H259" s="1066"/>
      <c r="J259" s="1149"/>
      <c r="K259" s="1062"/>
      <c r="L259" s="1149"/>
      <c r="M259" s="1062"/>
      <c r="N259" s="1062"/>
      <c r="O259" s="1149"/>
      <c r="Q259" s="1150"/>
      <c r="R259" s="1136"/>
      <c r="S259" s="1136"/>
      <c r="T259" s="1136"/>
      <c r="U259" s="1065"/>
    </row>
    <row r="260" spans="1:21">
      <c r="A260" s="1067" t="s">
        <v>953</v>
      </c>
      <c r="B260" s="1067"/>
      <c r="C260" s="1148">
        <f>LOOKUP($G$197,$AE$49:$AI$49,AE65:AI65)</f>
        <v>51.566666666666663</v>
      </c>
      <c r="D260" s="1148">
        <f>LOOKUP($G$199,$AE$51:$AI$51,AE66:AI66)</f>
        <v>0</v>
      </c>
      <c r="E260" s="1066"/>
      <c r="F260" s="1066"/>
      <c r="G260" s="1148">
        <f>SUM(C260+D260)</f>
        <v>51.566666666666663</v>
      </c>
      <c r="H260" s="1066"/>
      <c r="J260" s="1149">
        <f>LOOKUP($G$197,$AO$49:$AS$49,AO65:AS65)</f>
        <v>46.149999999999991</v>
      </c>
      <c r="K260" s="1062"/>
      <c r="L260" s="1149">
        <f>LOOKUP($G$199,$AO$51:$AS$51,AO66:AS66)</f>
        <v>0</v>
      </c>
      <c r="M260" s="1062"/>
      <c r="N260" s="1062"/>
      <c r="O260" s="1149">
        <f>SUM(J260+L260)</f>
        <v>46.149999999999991</v>
      </c>
      <c r="Q260" s="1150">
        <f>IF($G$195="Yes",G260,IF($G$195="No",O260))</f>
        <v>46.149999999999991</v>
      </c>
      <c r="R260" s="1136"/>
      <c r="S260" s="1136"/>
      <c r="T260" s="1136"/>
      <c r="U260" s="1065"/>
    </row>
    <row r="261" spans="1:21">
      <c r="C261" s="1148"/>
      <c r="D261" s="1148"/>
      <c r="E261" s="1066"/>
      <c r="F261" s="1066"/>
      <c r="G261" s="1148"/>
      <c r="H261" s="1066"/>
      <c r="J261" s="1149"/>
      <c r="K261" s="1062"/>
      <c r="L261" s="1149"/>
      <c r="M261" s="1062"/>
      <c r="N261" s="1062"/>
      <c r="O261" s="1149"/>
      <c r="Q261" s="1150"/>
      <c r="R261" s="1136"/>
      <c r="S261" s="1136"/>
      <c r="T261" s="1136"/>
      <c r="U261" s="1065"/>
    </row>
    <row r="262" spans="1:21">
      <c r="A262" s="1067" t="s">
        <v>954</v>
      </c>
      <c r="B262" s="1067"/>
      <c r="C262" s="1148">
        <f>LOOKUP($G$197,$AE$49:$AI$49,AE67:AI67)</f>
        <v>312.21666666666664</v>
      </c>
      <c r="D262" s="1148">
        <f>LOOKUP($G$199,$AE$51:$AI$51,AE68:AI68)</f>
        <v>0</v>
      </c>
      <c r="E262" s="1066"/>
      <c r="F262" s="1066"/>
      <c r="G262" s="1148">
        <f>SUM(C262+D262)</f>
        <v>312.21666666666664</v>
      </c>
      <c r="H262" s="1066"/>
      <c r="J262" s="1149">
        <f>LOOKUP($G$197,$AO$49:$AS$49,AO67:AS67)</f>
        <v>365.08333333333326</v>
      </c>
      <c r="K262" s="1062"/>
      <c r="L262" s="1149">
        <f>LOOKUP($G$199,$AO$51:$AS$51,AO68:AS68)</f>
        <v>0</v>
      </c>
      <c r="M262" s="1062"/>
      <c r="N262" s="1062"/>
      <c r="O262" s="1149">
        <f>SUM(J262+L262)</f>
        <v>365.08333333333326</v>
      </c>
      <c r="Q262" s="1150">
        <f>IF($G$195="Yes",G262,IF($G$195="No",O262))</f>
        <v>365.08333333333326</v>
      </c>
      <c r="R262" s="1136"/>
      <c r="S262" s="1136" t="s">
        <v>565</v>
      </c>
      <c r="T262" s="1136"/>
      <c r="U262" s="1065"/>
    </row>
    <row r="263" spans="1:21">
      <c r="C263" s="1148"/>
      <c r="D263" s="1148"/>
      <c r="E263" s="1066"/>
      <c r="F263" s="1066"/>
      <c r="G263" s="1148"/>
      <c r="H263" s="1066"/>
      <c r="J263" s="1149"/>
      <c r="K263" s="1062"/>
      <c r="L263" s="1149"/>
      <c r="M263" s="1062"/>
      <c r="N263" s="1062"/>
      <c r="O263" s="1149"/>
      <c r="Q263" s="1150"/>
      <c r="R263" s="1136"/>
      <c r="S263" s="1136"/>
      <c r="T263" s="1136"/>
      <c r="U263" s="1065"/>
    </row>
    <row r="264" spans="1:21">
      <c r="A264" s="1067" t="s">
        <v>955</v>
      </c>
      <c r="B264" s="1067"/>
      <c r="C264" s="1148">
        <f>LOOKUP($G$197,$AE$49:$AI$49,AE69:AI69)</f>
        <v>92.191666666666663</v>
      </c>
      <c r="D264" s="1148">
        <f>LOOKUP($G$199,$AE$51:$AI$51,AE70:AI70)</f>
        <v>0</v>
      </c>
      <c r="E264" s="1066"/>
      <c r="F264" s="1066"/>
      <c r="G264" s="1148">
        <f>SUM(C264+D264)</f>
        <v>92.191666666666663</v>
      </c>
      <c r="H264" s="1066"/>
      <c r="J264" s="1149">
        <f>LOOKUP($G$197,$AO$49:$AS$49,AO69:AS69)</f>
        <v>98.583333333333343</v>
      </c>
      <c r="K264" s="1062"/>
      <c r="L264" s="1149">
        <f>LOOKUP($G$199,$AO$51:$AS$51,AO70:AS70)</f>
        <v>0</v>
      </c>
      <c r="M264" s="1062"/>
      <c r="N264" s="1062"/>
      <c r="O264" s="1149">
        <f>SUM(J264+L264)</f>
        <v>98.583333333333343</v>
      </c>
      <c r="Q264" s="1150">
        <f>IF($G$195="Yes",G264,IF($G$195="No",O264))</f>
        <v>98.583333333333343</v>
      </c>
      <c r="R264" s="1136"/>
      <c r="S264" s="1136"/>
      <c r="T264" s="1136"/>
      <c r="U264" s="1065"/>
    </row>
    <row r="265" spans="1:21">
      <c r="C265" s="1148"/>
      <c r="D265" s="1148"/>
      <c r="E265" s="1066"/>
      <c r="F265" s="1066"/>
      <c r="G265" s="1148"/>
      <c r="H265" s="1066"/>
      <c r="J265" s="1149"/>
      <c r="K265" s="1062"/>
      <c r="L265" s="1149"/>
      <c r="M265" s="1062"/>
      <c r="N265" s="1062"/>
      <c r="O265" s="1149"/>
      <c r="Q265" s="1150"/>
      <c r="R265" s="1136"/>
      <c r="S265" s="1136"/>
      <c r="T265" s="1136"/>
      <c r="U265" s="1065"/>
    </row>
    <row r="266" spans="1:21">
      <c r="A266" s="1067" t="s">
        <v>956</v>
      </c>
      <c r="B266" s="1067"/>
      <c r="C266" s="1148">
        <f>LOOKUP($G$197,$AE$49:$AI$49,AE71:AI71)</f>
        <v>199.6583333333333</v>
      </c>
      <c r="D266" s="1148">
        <f>LOOKUP($G$199,$AE$51:$AI$51,AE72:AI72)</f>
        <v>0</v>
      </c>
      <c r="E266" s="1066"/>
      <c r="F266" s="1066"/>
      <c r="G266" s="1148">
        <f>SUM(C266+D266)</f>
        <v>199.6583333333333</v>
      </c>
      <c r="H266" s="1066"/>
      <c r="J266" s="1149">
        <f>LOOKUP($G$197,$AO$49:$AS$49,AO71:AS71)</f>
        <v>279.5</v>
      </c>
      <c r="K266" s="1062"/>
      <c r="L266" s="1149">
        <f>LOOKUP($G$199,$AO$51:$AS$51,AO72:AS72)</f>
        <v>0</v>
      </c>
      <c r="M266" s="1062"/>
      <c r="N266" s="1062"/>
      <c r="O266" s="1149">
        <f>SUM(J266+L266)</f>
        <v>279.5</v>
      </c>
      <c r="Q266" s="1150">
        <f>IF($G$195="Yes",G266,IF($G$195="No",O266))</f>
        <v>279.5</v>
      </c>
      <c r="R266" s="1136"/>
      <c r="S266" s="1136"/>
      <c r="T266" s="1136"/>
      <c r="U266" s="1065"/>
    </row>
    <row r="267" spans="1:21">
      <c r="C267" s="1148"/>
      <c r="D267" s="1148"/>
      <c r="E267" s="1066"/>
      <c r="F267" s="1066"/>
      <c r="G267" s="1148"/>
      <c r="H267" s="1066"/>
      <c r="J267" s="1149"/>
      <c r="K267" s="1062"/>
      <c r="L267" s="1149"/>
      <c r="M267" s="1062"/>
      <c r="N267" s="1062"/>
      <c r="O267" s="1149"/>
      <c r="Q267" s="1150"/>
      <c r="R267" s="1136"/>
      <c r="S267" s="1136"/>
      <c r="T267" s="1136"/>
      <c r="U267" s="1065"/>
    </row>
    <row r="268" spans="1:21">
      <c r="A268" s="1067" t="s">
        <v>957</v>
      </c>
      <c r="B268" s="1067"/>
      <c r="C268" s="1148">
        <f>LOOKUP($G$197,$AE$49:$AI$49,AE73:AI73)</f>
        <v>19.5</v>
      </c>
      <c r="D268" s="1148">
        <f>LOOKUP($G$199,$AE$51:$AI$51,AE74:AI74)</f>
        <v>0</v>
      </c>
      <c r="E268" s="1066"/>
      <c r="F268" s="1066"/>
      <c r="G268" s="1148">
        <f>SUM(C268+D268)</f>
        <v>19.5</v>
      </c>
      <c r="H268" s="1066"/>
      <c r="J268" s="1149">
        <f>LOOKUP($G$197,$AO$49:$AS$49,AO73:AS73)</f>
        <v>27.95</v>
      </c>
      <c r="K268" s="1062"/>
      <c r="L268" s="1149">
        <f>LOOKUP($G$199,$AO$51:$AS$51,AO74:AS74)</f>
        <v>0</v>
      </c>
      <c r="M268" s="1062"/>
      <c r="N268" s="1062"/>
      <c r="O268" s="1149">
        <f>SUM(J268+L268)</f>
        <v>27.95</v>
      </c>
      <c r="Q268" s="1150">
        <f>IF($G$195="Yes",G268,IF($G$195="No",O268))</f>
        <v>27.95</v>
      </c>
      <c r="R268" s="1136"/>
      <c r="S268" s="1136" t="s">
        <v>565</v>
      </c>
      <c r="T268" s="1136"/>
      <c r="U268" s="1065"/>
    </row>
    <row r="269" spans="1:21">
      <c r="C269" s="1148"/>
      <c r="D269" s="1148"/>
      <c r="E269" s="1066"/>
      <c r="F269" s="1066"/>
      <c r="G269" s="1148"/>
      <c r="H269" s="1066"/>
      <c r="J269" s="1149"/>
      <c r="K269" s="1062"/>
      <c r="L269" s="1149"/>
      <c r="M269" s="1062"/>
      <c r="N269" s="1062"/>
      <c r="O269" s="1149"/>
      <c r="Q269" s="1150"/>
      <c r="R269" s="1136"/>
      <c r="S269" s="1136"/>
      <c r="T269" s="1136"/>
      <c r="U269" s="1065"/>
    </row>
    <row r="270" spans="1:21">
      <c r="A270" s="1067" t="s">
        <v>958</v>
      </c>
      <c r="B270" s="1067"/>
      <c r="C270" s="1148">
        <f>LOOKUP($G$197,$AE$49:$AI$49,AE75:AI75)</f>
        <v>146.14166666666665</v>
      </c>
      <c r="D270" s="1148">
        <f>LOOKUP($G$199,$AE$51:$AI$51,AE76:AI76)</f>
        <v>0</v>
      </c>
      <c r="E270" s="1066"/>
      <c r="F270" s="1066"/>
      <c r="G270" s="1148">
        <f>SUM(C270+D270)</f>
        <v>146.14166666666665</v>
      </c>
      <c r="H270" s="1066"/>
      <c r="J270" s="1149">
        <f>LOOKUP($G$197,$AO$49:$AS$49,AO75:AS75)</f>
        <v>166.83333333333331</v>
      </c>
      <c r="K270" s="1062"/>
      <c r="L270" s="1149">
        <f>LOOKUP($G$199,$AO$51:$AS$51,AO76:AS76)</f>
        <v>0</v>
      </c>
      <c r="M270" s="1062"/>
      <c r="N270" s="1062"/>
      <c r="O270" s="1149">
        <f>SUM(J270+L270)</f>
        <v>166.83333333333331</v>
      </c>
      <c r="Q270" s="1150">
        <f>IF($G$195="Yes",G270,IF($G$195="No",O270))</f>
        <v>166.83333333333331</v>
      </c>
      <c r="R270" s="1136"/>
      <c r="S270" s="1136" t="s">
        <v>565</v>
      </c>
      <c r="T270" s="1136"/>
      <c r="U270" s="1065"/>
    </row>
    <row r="271" spans="1:21">
      <c r="C271" s="1148"/>
      <c r="D271" s="1148"/>
      <c r="E271" s="1066"/>
      <c r="F271" s="1066"/>
      <c r="G271" s="1148"/>
      <c r="H271" s="1066"/>
      <c r="J271" s="1149"/>
      <c r="K271" s="1062"/>
      <c r="L271" s="1149"/>
      <c r="M271" s="1062"/>
      <c r="N271" s="1062"/>
      <c r="O271" s="1149"/>
      <c r="Q271" s="1150"/>
      <c r="R271" s="1136"/>
      <c r="S271" s="1136"/>
      <c r="T271" s="1136"/>
      <c r="U271" s="1065"/>
    </row>
    <row r="272" spans="1:21">
      <c r="A272" s="1318" t="s">
        <v>959</v>
      </c>
      <c r="B272" s="1318"/>
      <c r="C272" s="1148">
        <f>LOOKUP($G$197,$AE$49:$AI$49,AE77:AI77)</f>
        <v>172.25</v>
      </c>
      <c r="D272" s="1148">
        <f>LOOKUP($G$199,$AE$51:$AI$51,AE78:AI78)</f>
        <v>0</v>
      </c>
      <c r="E272" s="1066"/>
      <c r="F272" s="1066"/>
      <c r="G272" s="1148">
        <f>SUM(C272+D272)</f>
        <v>172.25</v>
      </c>
      <c r="H272" s="1066"/>
      <c r="J272" s="1149">
        <f>LOOKUP($G$197,$AO$49:$AS$49,AO77:AS77)</f>
        <v>169</v>
      </c>
      <c r="K272" s="1062"/>
      <c r="L272" s="1149">
        <f>LOOKUP($G$199,$AO$51:$AS$51,AO78:AS78)</f>
        <v>0</v>
      </c>
      <c r="M272" s="1062"/>
      <c r="N272" s="1062"/>
      <c r="O272" s="1149">
        <f>SUM(J272+L272)</f>
        <v>169</v>
      </c>
      <c r="Q272" s="1150">
        <f>IF($G$195="Yes",G272,IF($G$195="No",O272))</f>
        <v>169</v>
      </c>
      <c r="R272" s="1136"/>
      <c r="S272" s="1136" t="s">
        <v>565</v>
      </c>
      <c r="T272" s="1136"/>
      <c r="U272" s="1065"/>
    </row>
    <row r="273" spans="1:21">
      <c r="C273" s="1156"/>
      <c r="D273" s="1156"/>
      <c r="F273" s="1156"/>
      <c r="U273" s="1065"/>
    </row>
    <row r="274" spans="1:21">
      <c r="U274" s="1065"/>
    </row>
    <row r="275" spans="1:21">
      <c r="C275" s="1329" t="s">
        <v>977</v>
      </c>
      <c r="D275" s="1329"/>
      <c r="E275" s="1329"/>
      <c r="F275" s="1329"/>
      <c r="G275" s="1329"/>
      <c r="H275" s="1329"/>
      <c r="J275" s="1331" t="s">
        <v>978</v>
      </c>
      <c r="K275" s="1331"/>
      <c r="L275" s="1331"/>
      <c r="M275" s="1331"/>
      <c r="N275" s="1331"/>
      <c r="O275" s="1331"/>
      <c r="Q275" s="1332" t="s">
        <v>979</v>
      </c>
      <c r="R275" s="1332"/>
      <c r="S275" s="1332"/>
      <c r="T275" s="1332"/>
      <c r="U275" s="1065"/>
    </row>
    <row r="276" spans="1:21">
      <c r="C276" s="1132" t="s">
        <v>975</v>
      </c>
      <c r="D276" s="1132" t="s">
        <v>976</v>
      </c>
      <c r="E276" s="1066"/>
      <c r="F276" s="1329" t="s">
        <v>980</v>
      </c>
      <c r="G276" s="1329"/>
      <c r="H276" s="1329"/>
      <c r="J276" s="1134" t="s">
        <v>975</v>
      </c>
      <c r="K276" s="1062"/>
      <c r="L276" s="1134" t="s">
        <v>976</v>
      </c>
      <c r="M276" s="1331" t="s">
        <v>980</v>
      </c>
      <c r="N276" s="1331"/>
      <c r="O276" s="1331"/>
      <c r="Q276" s="1332" t="s">
        <v>991</v>
      </c>
      <c r="R276" s="1332"/>
      <c r="S276" s="1332"/>
      <c r="T276" s="1136"/>
      <c r="U276" s="1065"/>
    </row>
    <row r="277" spans="1:21">
      <c r="A277" s="1046" t="s">
        <v>960</v>
      </c>
      <c r="C277" s="1066">
        <f>$G$197</f>
        <v>2</v>
      </c>
      <c r="D277" s="1066">
        <f>$G$199</f>
        <v>0</v>
      </c>
      <c r="E277" s="1066"/>
      <c r="F277" s="1132" t="s">
        <v>13</v>
      </c>
      <c r="G277" s="1157" t="s">
        <v>7</v>
      </c>
      <c r="H277" s="1066"/>
      <c r="J277" s="1062">
        <f>$G$197</f>
        <v>2</v>
      </c>
      <c r="K277" s="1062"/>
      <c r="L277" s="1062">
        <f>$G$199</f>
        <v>0</v>
      </c>
      <c r="M277" s="1134" t="s">
        <v>13</v>
      </c>
      <c r="N277" s="1062"/>
      <c r="O277" s="1158" t="s">
        <v>7</v>
      </c>
      <c r="Q277" s="1159" t="s">
        <v>7</v>
      </c>
      <c r="R277" s="1136"/>
      <c r="S277" s="1159"/>
      <c r="T277" s="1136"/>
      <c r="U277" s="1065"/>
    </row>
    <row r="278" spans="1:21">
      <c r="A278" s="1046"/>
      <c r="C278" s="1066"/>
      <c r="D278" s="1066"/>
      <c r="E278" s="1066"/>
      <c r="F278" s="1132"/>
      <c r="G278" s="1157"/>
      <c r="H278" s="1066"/>
      <c r="J278" s="1062"/>
      <c r="K278" s="1062"/>
      <c r="L278" s="1062"/>
      <c r="M278" s="1134"/>
      <c r="N278" s="1062"/>
      <c r="O278" s="1158"/>
      <c r="Q278" s="1144"/>
      <c r="R278" s="1136"/>
      <c r="S278" s="1159"/>
      <c r="T278" s="1160" t="str">
        <f>IF($G$97="Yes","Retired",IF($G$97="No","Non-retired"))</f>
        <v>Non-retired</v>
      </c>
      <c r="U278" s="1065"/>
    </row>
    <row r="279" spans="1:21">
      <c r="C279" s="1066"/>
      <c r="D279" s="1066"/>
      <c r="E279" s="1066"/>
      <c r="F279" s="1066"/>
      <c r="G279" s="1066"/>
      <c r="H279" s="1066"/>
      <c r="J279" s="1062"/>
      <c r="K279" s="1062"/>
      <c r="L279" s="1062"/>
      <c r="M279" s="1062"/>
      <c r="N279" s="1062"/>
      <c r="O279" s="1062"/>
      <c r="Q279" s="1136"/>
      <c r="R279" s="1136"/>
      <c r="S279" s="1136"/>
      <c r="T279" s="1136"/>
      <c r="U279" s="1065"/>
    </row>
    <row r="280" spans="1:21">
      <c r="A280" s="1318" t="s">
        <v>992</v>
      </c>
      <c r="B280" s="1318"/>
      <c r="C280" s="1148">
        <f>LOOKUP($G$197,$AE$49:$AI$49,AE88:AI88)</f>
        <v>148.66962499999997</v>
      </c>
      <c r="D280" s="1148">
        <f>LOOKUP($G$199,$AE$51:$AI$51,AE89:AI89)</f>
        <v>0</v>
      </c>
      <c r="E280" s="1148"/>
      <c r="F280" s="1148"/>
      <c r="G280" s="1148">
        <f>SUM(C280+D280)</f>
        <v>148.66962499999997</v>
      </c>
      <c r="H280" s="1148"/>
      <c r="I280" s="1156"/>
      <c r="J280" s="1149">
        <f>LOOKUP($G$197,$AO$49:$AS$49,AO88:AS88)</f>
        <v>145.42016666666666</v>
      </c>
      <c r="K280" s="1149"/>
      <c r="L280" s="1149">
        <f>LOOKUP($G$199,$AO$51:$AS$51,AO89:AS89)</f>
        <v>0</v>
      </c>
      <c r="M280" s="1149"/>
      <c r="N280" s="1149"/>
      <c r="O280" s="1149">
        <f>SUM(J280+L280)</f>
        <v>145.42016666666666</v>
      </c>
      <c r="P280" s="1156"/>
      <c r="Q280" s="1150">
        <f>IF($G$195="Yes",G280,IF($G$195="No",O280))</f>
        <v>145.42016666666666</v>
      </c>
      <c r="R280" s="1136"/>
      <c r="S280" s="1136"/>
      <c r="T280" s="1136"/>
      <c r="U280" s="1065"/>
    </row>
    <row r="281" spans="1:21">
      <c r="C281" s="1148"/>
      <c r="D281" s="1148"/>
      <c r="E281" s="1148"/>
      <c r="F281" s="1148"/>
      <c r="G281" s="1148"/>
      <c r="H281" s="1148"/>
      <c r="I281" s="1156"/>
      <c r="J281" s="1149"/>
      <c r="K281" s="1149"/>
      <c r="L281" s="1149"/>
      <c r="M281" s="1149"/>
      <c r="N281" s="1149"/>
      <c r="O281" s="1149"/>
      <c r="P281" s="1156"/>
      <c r="Q281" s="1150"/>
      <c r="R281" s="1136"/>
      <c r="S281" s="1136"/>
      <c r="T281" s="1136"/>
      <c r="U281" s="1065"/>
    </row>
    <row r="282" spans="1:21">
      <c r="A282" s="1318" t="s">
        <v>993</v>
      </c>
      <c r="B282" s="1318"/>
      <c r="C282" s="1148">
        <f>LOOKUP($G$197,$AE$49:$AI$49,AE82:AI82)</f>
        <v>104.39454999999998</v>
      </c>
      <c r="D282" s="1148">
        <f>LOOKUP($G$199,$AE$51:$AI$51,AE83:AI83)</f>
        <v>0</v>
      </c>
      <c r="E282" s="1148"/>
      <c r="F282" s="1148"/>
      <c r="G282" s="1148">
        <f t="shared" ref="G282" si="327">SUM(C282+D282)</f>
        <v>104.39454999999998</v>
      </c>
      <c r="H282" s="1148"/>
      <c r="I282" s="1156"/>
      <c r="J282" s="1149">
        <f>LOOKUP($G$197,$AO$49:$AS$49,AO82:AS82)</f>
        <v>124.35561666666665</v>
      </c>
      <c r="K282" s="1149"/>
      <c r="L282" s="1149">
        <f>LOOKUP($G$199,$AO$51:$AS$51,AO83:AS83)</f>
        <v>0</v>
      </c>
      <c r="M282" s="1149"/>
      <c r="N282" s="1149"/>
      <c r="O282" s="1149">
        <f>SUM(J282+L282)</f>
        <v>124.35561666666665</v>
      </c>
      <c r="P282" s="1156"/>
      <c r="Q282" s="1150">
        <f>IF($G$195="Yes",G282,IF($G$195="No",O282))</f>
        <v>124.35561666666665</v>
      </c>
      <c r="R282" s="1136"/>
      <c r="S282" s="1136"/>
      <c r="T282" s="1136"/>
      <c r="U282" s="1065"/>
    </row>
    <row r="283" spans="1:21">
      <c r="C283" s="1148"/>
      <c r="D283" s="1148"/>
      <c r="E283" s="1148"/>
      <c r="F283" s="1148"/>
      <c r="G283" s="1148"/>
      <c r="H283" s="1148"/>
      <c r="I283" s="1156"/>
      <c r="J283" s="1149"/>
      <c r="K283" s="1149"/>
      <c r="L283" s="1149"/>
      <c r="M283" s="1149"/>
      <c r="N283" s="1149"/>
      <c r="O283" s="1149"/>
      <c r="P283" s="1156"/>
      <c r="Q283" s="1150"/>
      <c r="R283" s="1136"/>
      <c r="S283" s="1136"/>
      <c r="T283" s="1136"/>
      <c r="U283" s="1065"/>
    </row>
    <row r="284" spans="1:21">
      <c r="A284" s="1318" t="s">
        <v>994</v>
      </c>
      <c r="B284" s="1318"/>
      <c r="C284" s="1148">
        <f>LOOKUP($G$197,$AE$49:$AI$49,AE85:AI85)</f>
        <v>59.554516666666665</v>
      </c>
      <c r="D284" s="1148">
        <f>LOOKUP($G$199,$AE$51:$AI$51,AE86:AI86)</f>
        <v>0</v>
      </c>
      <c r="E284" s="1148"/>
      <c r="F284" s="1148"/>
      <c r="G284" s="1148">
        <f>SUM(C284+D284)</f>
        <v>59.554516666666665</v>
      </c>
      <c r="H284" s="1148"/>
      <c r="I284" s="1156"/>
      <c r="J284" s="1149">
        <f>LOOKUP($G$197,$AO$49:$AS$49,AO85:AS85)</f>
        <v>60.295516666666664</v>
      </c>
      <c r="K284" s="1149"/>
      <c r="L284" s="1149">
        <f>LOOKUP($G$199,$AO$51:$AS$51,AO86:AS86)</f>
        <v>0</v>
      </c>
      <c r="M284" s="1149"/>
      <c r="N284" s="1149"/>
      <c r="O284" s="1149">
        <f>SUM(J284+L284)</f>
        <v>60.295516666666664</v>
      </c>
      <c r="P284" s="1156"/>
      <c r="Q284" s="1150">
        <f>IF($G$195="Yes",G284,IF($G$195="No",O284))</f>
        <v>60.295516666666664</v>
      </c>
      <c r="R284" s="1136"/>
      <c r="S284" s="1136"/>
      <c r="T284" s="1136"/>
      <c r="U284" s="1065"/>
    </row>
    <row r="285" spans="1:21">
      <c r="C285" s="1066"/>
      <c r="D285" s="1066"/>
      <c r="E285" s="1066"/>
      <c r="F285" s="1066"/>
      <c r="G285" s="1066"/>
      <c r="H285" s="1066"/>
      <c r="J285" s="1062"/>
      <c r="K285" s="1062"/>
      <c r="L285" s="1062"/>
      <c r="M285" s="1062"/>
      <c r="N285" s="1062"/>
      <c r="O285" s="1062"/>
      <c r="Q285" s="1136"/>
      <c r="R285" s="1136"/>
      <c r="S285" s="1136"/>
      <c r="T285" s="1136"/>
      <c r="U285" s="1065"/>
    </row>
  </sheetData>
  <sheetProtection algorithmName="SHA-512" hashValue="5L26d6HeVOqWc2VrK0Ra/HkbU/hiJ1wKWl9ohUlwMNJ0dNedZGH+dU8y1vtF1ac9J57CLFgFXyTEmRfuA7uo7Q==" saltValue="aOOrk6/lN0VzhK48z+OAlA==" spinCount="100000" sheet="1" objects="1" scenarios="1"/>
  <autoFilter ref="A1:A132" xr:uid="{A804B869-43E9-4C33-B437-183FC49C00FC}"/>
  <mergeCells count="169">
    <mergeCell ref="F276:H276"/>
    <mergeCell ref="M276:O276"/>
    <mergeCell ref="Q276:S276"/>
    <mergeCell ref="A280:B280"/>
    <mergeCell ref="A282:B282"/>
    <mergeCell ref="A284:B284"/>
    <mergeCell ref="C247:H247"/>
    <mergeCell ref="J247:O247"/>
    <mergeCell ref="Q247:T247"/>
    <mergeCell ref="Q248:S248"/>
    <mergeCell ref="A272:B272"/>
    <mergeCell ref="C275:H275"/>
    <mergeCell ref="J275:O275"/>
    <mergeCell ref="Q275:T275"/>
    <mergeCell ref="F234:H234"/>
    <mergeCell ref="M234:O234"/>
    <mergeCell ref="Q234:S234"/>
    <mergeCell ref="A238:B238"/>
    <mergeCell ref="A240:B240"/>
    <mergeCell ref="A242:B242"/>
    <mergeCell ref="A226:B226"/>
    <mergeCell ref="A228:B228"/>
    <mergeCell ref="A230:B230"/>
    <mergeCell ref="C233:H233"/>
    <mergeCell ref="J233:O233"/>
    <mergeCell ref="Q233:T233"/>
    <mergeCell ref="A214:B214"/>
    <mergeCell ref="A216:B216"/>
    <mergeCell ref="A218:B218"/>
    <mergeCell ref="A220:B220"/>
    <mergeCell ref="A222:B222"/>
    <mergeCell ref="A224:B224"/>
    <mergeCell ref="J203:O203"/>
    <mergeCell ref="Q203:T203"/>
    <mergeCell ref="Q204:S204"/>
    <mergeCell ref="A208:B208"/>
    <mergeCell ref="A210:B210"/>
    <mergeCell ref="A212:B212"/>
    <mergeCell ref="D192:E192"/>
    <mergeCell ref="D194:E194"/>
    <mergeCell ref="D196:E196"/>
    <mergeCell ref="D198:E198"/>
    <mergeCell ref="D200:E200"/>
    <mergeCell ref="C203:H203"/>
    <mergeCell ref="F178:H178"/>
    <mergeCell ref="M178:O178"/>
    <mergeCell ref="Q178:S178"/>
    <mergeCell ref="A182:B182"/>
    <mergeCell ref="A184:B184"/>
    <mergeCell ref="A186:B186"/>
    <mergeCell ref="C149:H149"/>
    <mergeCell ref="J149:O149"/>
    <mergeCell ref="Q149:T149"/>
    <mergeCell ref="Q150:S150"/>
    <mergeCell ref="A174:B174"/>
    <mergeCell ref="C177:H177"/>
    <mergeCell ref="J177:O177"/>
    <mergeCell ref="Q177:T177"/>
    <mergeCell ref="F136:H136"/>
    <mergeCell ref="M136:O136"/>
    <mergeCell ref="Q136:S136"/>
    <mergeCell ref="A140:B140"/>
    <mergeCell ref="A142:B142"/>
    <mergeCell ref="A144:B144"/>
    <mergeCell ref="A128:B128"/>
    <mergeCell ref="A130:B130"/>
    <mergeCell ref="A132:B132"/>
    <mergeCell ref="C135:H135"/>
    <mergeCell ref="J135:O135"/>
    <mergeCell ref="Q135:T135"/>
    <mergeCell ref="A116:B116"/>
    <mergeCell ref="A118:B118"/>
    <mergeCell ref="A120:B120"/>
    <mergeCell ref="A122:B122"/>
    <mergeCell ref="A124:B124"/>
    <mergeCell ref="A126:B126"/>
    <mergeCell ref="J105:O105"/>
    <mergeCell ref="Q105:T105"/>
    <mergeCell ref="Q106:S106"/>
    <mergeCell ref="A110:B110"/>
    <mergeCell ref="A112:B112"/>
    <mergeCell ref="A114:B114"/>
    <mergeCell ref="D94:E94"/>
    <mergeCell ref="D96:E96"/>
    <mergeCell ref="D98:E98"/>
    <mergeCell ref="D100:E100"/>
    <mergeCell ref="D102:E102"/>
    <mergeCell ref="C105:H105"/>
    <mergeCell ref="A81:B81"/>
    <mergeCell ref="A84:B84"/>
    <mergeCell ref="D84:E84"/>
    <mergeCell ref="D86:E86"/>
    <mergeCell ref="D90:E90"/>
    <mergeCell ref="D92:E92"/>
    <mergeCell ref="AE53:AI53"/>
    <mergeCell ref="AO53:AS53"/>
    <mergeCell ref="V54:W54"/>
    <mergeCell ref="X54:Y54"/>
    <mergeCell ref="D80:E80"/>
    <mergeCell ref="AE80:AI80"/>
    <mergeCell ref="AO80:AS80"/>
    <mergeCell ref="AC49:AC51"/>
    <mergeCell ref="AD49:AD51"/>
    <mergeCell ref="AL49:AL51"/>
    <mergeCell ref="AM49:AM51"/>
    <mergeCell ref="AN49:AN51"/>
    <mergeCell ref="AE50:AI50"/>
    <mergeCell ref="AJ48:AJ51"/>
    <mergeCell ref="AL48:AN48"/>
    <mergeCell ref="AO48:AS48"/>
    <mergeCell ref="AT48:AT51"/>
    <mergeCell ref="C49:D49"/>
    <mergeCell ref="F49:G49"/>
    <mergeCell ref="L49:M49"/>
    <mergeCell ref="O49:Q49"/>
    <mergeCell ref="S49:T49"/>
    <mergeCell ref="AB49:AB51"/>
    <mergeCell ref="AO34:AS34"/>
    <mergeCell ref="A35:B35"/>
    <mergeCell ref="A38:B38"/>
    <mergeCell ref="C48:G48"/>
    <mergeCell ref="I48:J48"/>
    <mergeCell ref="L48:T48"/>
    <mergeCell ref="V48:W48"/>
    <mergeCell ref="X48:Y48"/>
    <mergeCell ref="AB48:AD48"/>
    <mergeCell ref="AE48:AI48"/>
    <mergeCell ref="AO50:AS50"/>
    <mergeCell ref="A23:B23"/>
    <mergeCell ref="A25:B25"/>
    <mergeCell ref="A27:B27"/>
    <mergeCell ref="A29:B29"/>
    <mergeCell ref="A31:B31"/>
    <mergeCell ref="AE34:AI34"/>
    <mergeCell ref="A11:B11"/>
    <mergeCell ref="A13:B13"/>
    <mergeCell ref="A15:B15"/>
    <mergeCell ref="A17:B17"/>
    <mergeCell ref="A19:B19"/>
    <mergeCell ref="A21:B21"/>
    <mergeCell ref="AE7:AI7"/>
    <mergeCell ref="AO7:AS7"/>
    <mergeCell ref="V8:W8"/>
    <mergeCell ref="X8:Y8"/>
    <mergeCell ref="A9:B9"/>
    <mergeCell ref="AB2:AB4"/>
    <mergeCell ref="AC2:AC4"/>
    <mergeCell ref="AD2:AD4"/>
    <mergeCell ref="AL2:AL4"/>
    <mergeCell ref="AM2:AM4"/>
    <mergeCell ref="AN2:AN4"/>
    <mergeCell ref="AE3:AI3"/>
    <mergeCell ref="AE1:AI1"/>
    <mergeCell ref="AJ1:AJ4"/>
    <mergeCell ref="AL1:AN1"/>
    <mergeCell ref="AO1:AS1"/>
    <mergeCell ref="AT1:AT4"/>
    <mergeCell ref="C2:D2"/>
    <mergeCell ref="F2:G2"/>
    <mergeCell ref="L2:M2"/>
    <mergeCell ref="O2:Q2"/>
    <mergeCell ref="S2:T2"/>
    <mergeCell ref="C1:G1"/>
    <mergeCell ref="I1:J1"/>
    <mergeCell ref="L1:T1"/>
    <mergeCell ref="V1:W1"/>
    <mergeCell ref="X1:Y1"/>
    <mergeCell ref="AB1:AD1"/>
    <mergeCell ref="AO3:AS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91"/>
  <sheetViews>
    <sheetView topLeftCell="G1" workbookViewId="0">
      <selection activeCell="R3" sqref="R3"/>
    </sheetView>
  </sheetViews>
  <sheetFormatPr defaultColWidth="9.109375" defaultRowHeight="13.2"/>
  <cols>
    <col min="1" max="3" width="0" style="3" hidden="1" customWidth="1"/>
    <col min="4" max="4" width="43.6640625" style="3" hidden="1" customWidth="1"/>
    <col min="5" max="6" width="0" style="3" hidden="1" customWidth="1"/>
    <col min="7" max="16384" width="9.109375" style="3"/>
  </cols>
  <sheetData>
    <row r="1" spans="1:26">
      <c r="A1" s="2" t="s">
        <v>249</v>
      </c>
    </row>
    <row r="3" spans="1:26" ht="18">
      <c r="A3" s="24" t="s">
        <v>304</v>
      </c>
    </row>
    <row r="4" spans="1:26" ht="18">
      <c r="A4" s="4"/>
    </row>
    <row r="5" spans="1:26" ht="14.4">
      <c r="A5" s="5" t="s">
        <v>250</v>
      </c>
    </row>
    <row r="6" spans="1:26" ht="14.4">
      <c r="A6" s="6" t="s">
        <v>341</v>
      </c>
      <c r="E6" s="7" t="s">
        <v>342</v>
      </c>
      <c r="F6" s="7"/>
      <c r="G6" s="7"/>
      <c r="H6" s="7"/>
      <c r="I6" s="7"/>
      <c r="J6" s="7"/>
      <c r="K6" s="7"/>
      <c r="L6" s="7"/>
      <c r="M6" s="7"/>
      <c r="N6" s="7"/>
      <c r="O6" s="7"/>
      <c r="P6" s="7"/>
      <c r="Q6" s="7"/>
      <c r="R6" s="7"/>
      <c r="S6" s="7"/>
      <c r="T6" s="7"/>
      <c r="U6" s="7"/>
      <c r="V6" s="7"/>
    </row>
    <row r="7" spans="1:26" ht="14.4">
      <c r="A7" s="8" t="s">
        <v>251</v>
      </c>
      <c r="E7" s="7" t="s">
        <v>252</v>
      </c>
      <c r="F7" s="7"/>
      <c r="G7" s="7"/>
      <c r="H7" s="7"/>
      <c r="I7" s="7"/>
      <c r="J7" s="7"/>
      <c r="K7" s="7"/>
      <c r="L7" s="7"/>
      <c r="M7" s="7"/>
      <c r="N7" s="7"/>
      <c r="O7" s="7"/>
      <c r="P7" s="7"/>
      <c r="Q7" s="7"/>
      <c r="R7" s="7"/>
      <c r="S7" s="7"/>
      <c r="T7" s="7"/>
      <c r="U7" s="7"/>
      <c r="V7" s="7"/>
    </row>
    <row r="8" spans="1:26" ht="14.4">
      <c r="A8" s="6" t="s">
        <v>253</v>
      </c>
      <c r="B8" s="9"/>
      <c r="C8" s="9"/>
      <c r="D8" s="9"/>
      <c r="E8" s="9" t="s">
        <v>305</v>
      </c>
      <c r="F8" s="9"/>
      <c r="G8" s="9"/>
      <c r="H8" s="9"/>
      <c r="I8" s="9"/>
      <c r="J8" s="9"/>
      <c r="K8" s="9"/>
      <c r="L8" s="9"/>
      <c r="M8" s="9"/>
      <c r="N8" s="9"/>
      <c r="O8" s="9"/>
      <c r="P8" s="9"/>
      <c r="Q8" s="9"/>
      <c r="R8" s="9"/>
      <c r="S8" s="9"/>
      <c r="T8" s="10"/>
      <c r="U8" s="10"/>
      <c r="V8" s="10"/>
      <c r="W8" s="10"/>
      <c r="X8" s="10"/>
      <c r="Y8" s="10"/>
      <c r="Z8" s="10"/>
    </row>
    <row r="9" spans="1:26" ht="14.4">
      <c r="A9" s="6" t="s">
        <v>254</v>
      </c>
      <c r="B9" s="9"/>
      <c r="C9" s="9"/>
      <c r="D9" s="9"/>
      <c r="E9" s="9" t="s">
        <v>306</v>
      </c>
      <c r="F9" s="9"/>
      <c r="G9" s="9"/>
      <c r="H9" s="9"/>
      <c r="I9" s="9"/>
      <c r="J9" s="9"/>
      <c r="K9" s="9"/>
      <c r="L9" s="9"/>
      <c r="M9" s="9"/>
      <c r="N9" s="9"/>
      <c r="O9" s="9"/>
      <c r="P9" s="9"/>
      <c r="Q9" s="9"/>
      <c r="R9" s="9"/>
      <c r="S9" s="9"/>
      <c r="T9" s="10"/>
      <c r="U9" s="10"/>
      <c r="V9" s="10"/>
      <c r="W9" s="10"/>
      <c r="X9" s="10"/>
      <c r="Y9" s="10"/>
      <c r="Z9" s="10"/>
    </row>
    <row r="10" spans="1:26" ht="14.4">
      <c r="A10" s="6"/>
      <c r="B10" s="9"/>
      <c r="C10" s="9"/>
      <c r="D10" s="9"/>
      <c r="E10" s="9"/>
      <c r="F10" s="9"/>
      <c r="G10" s="9"/>
      <c r="H10" s="9"/>
      <c r="I10" s="9"/>
      <c r="J10" s="9"/>
      <c r="K10" s="9"/>
      <c r="L10" s="9"/>
      <c r="M10" s="9"/>
      <c r="N10" s="9"/>
      <c r="O10" s="9"/>
      <c r="P10" s="9"/>
      <c r="Q10" s="9"/>
      <c r="R10" s="9"/>
      <c r="S10" s="9"/>
      <c r="T10" s="10"/>
      <c r="U10" s="10"/>
      <c r="V10" s="10"/>
      <c r="W10" s="10"/>
      <c r="X10" s="10"/>
      <c r="Y10" s="10"/>
      <c r="Z10" s="10"/>
    </row>
    <row r="11" spans="1:26" ht="14.4">
      <c r="A11" s="5" t="s">
        <v>255</v>
      </c>
      <c r="B11" s="9"/>
      <c r="C11" s="9"/>
      <c r="D11" s="9"/>
      <c r="E11" s="9"/>
      <c r="F11" s="9"/>
      <c r="G11" s="9"/>
      <c r="H11" s="9"/>
      <c r="I11" s="9"/>
      <c r="J11" s="9"/>
      <c r="K11" s="9"/>
      <c r="L11" s="9"/>
      <c r="M11" s="9"/>
      <c r="N11" s="9"/>
      <c r="O11" s="9"/>
      <c r="P11" s="9"/>
      <c r="Q11" s="9"/>
      <c r="R11" s="9"/>
      <c r="S11" s="9"/>
      <c r="T11" s="10"/>
      <c r="U11" s="10"/>
      <c r="V11" s="10"/>
      <c r="W11" s="10"/>
      <c r="X11" s="10"/>
      <c r="Y11" s="10"/>
      <c r="Z11" s="10"/>
    </row>
    <row r="12" spans="1:26" ht="14.4">
      <c r="A12" s="6" t="s">
        <v>256</v>
      </c>
      <c r="B12" s="9"/>
      <c r="C12" s="9"/>
      <c r="D12" s="9"/>
      <c r="E12" s="9" t="s">
        <v>307</v>
      </c>
      <c r="F12" s="9"/>
      <c r="G12" s="9"/>
      <c r="H12" s="9"/>
      <c r="I12" s="9"/>
      <c r="J12" s="9"/>
      <c r="K12" s="9"/>
      <c r="L12" s="9"/>
      <c r="M12" s="9"/>
      <c r="N12" s="9"/>
      <c r="O12" s="9"/>
      <c r="P12" s="9"/>
      <c r="Q12" s="9"/>
      <c r="R12" s="9"/>
      <c r="S12" s="9"/>
      <c r="T12" s="10"/>
      <c r="U12" s="10"/>
      <c r="V12" s="10"/>
      <c r="W12" s="10"/>
      <c r="X12" s="10"/>
      <c r="Y12" s="10"/>
      <c r="Z12" s="10"/>
    </row>
    <row r="13" spans="1:26" ht="14.4">
      <c r="A13" s="6"/>
      <c r="B13" s="9"/>
      <c r="C13" s="9"/>
      <c r="D13" s="9"/>
      <c r="E13" s="9"/>
      <c r="F13" s="9"/>
      <c r="G13" s="9"/>
      <c r="H13" s="9"/>
      <c r="I13" s="9"/>
      <c r="J13" s="9"/>
      <c r="K13" s="9"/>
      <c r="L13" s="9"/>
      <c r="M13" s="9"/>
      <c r="N13" s="9"/>
      <c r="O13" s="9"/>
      <c r="P13" s="9"/>
      <c r="Q13" s="9"/>
      <c r="R13" s="9"/>
      <c r="S13" s="9"/>
      <c r="T13" s="10"/>
      <c r="U13" s="10"/>
      <c r="V13" s="10"/>
      <c r="W13" s="10"/>
      <c r="X13" s="10"/>
      <c r="Y13" s="10"/>
      <c r="Z13" s="10"/>
    </row>
    <row r="14" spans="1:26" ht="14.4">
      <c r="A14" s="5" t="s">
        <v>258</v>
      </c>
      <c r="B14" s="9"/>
      <c r="C14" s="9"/>
      <c r="D14" s="9"/>
      <c r="E14" s="9"/>
      <c r="F14" s="9"/>
      <c r="G14" s="9"/>
      <c r="H14" s="9"/>
      <c r="I14" s="9"/>
      <c r="J14" s="9"/>
      <c r="K14" s="9"/>
      <c r="L14" s="9"/>
      <c r="M14" s="9"/>
      <c r="N14" s="9"/>
      <c r="O14" s="9"/>
      <c r="P14" s="9"/>
      <c r="Q14" s="9"/>
      <c r="R14" s="9"/>
      <c r="S14" s="9"/>
      <c r="T14" s="10"/>
      <c r="U14" s="10"/>
      <c r="V14" s="10"/>
      <c r="W14" s="10"/>
      <c r="X14" s="10"/>
      <c r="Y14" s="10"/>
      <c r="Z14" s="10"/>
    </row>
    <row r="15" spans="1:26" ht="14.4">
      <c r="A15" s="6" t="s">
        <v>179</v>
      </c>
      <c r="B15" s="9"/>
      <c r="C15" s="9"/>
      <c r="D15" s="9"/>
      <c r="E15" s="9" t="s">
        <v>259</v>
      </c>
      <c r="F15" s="9"/>
      <c r="G15" s="9"/>
      <c r="H15" s="9"/>
      <c r="I15" s="9"/>
      <c r="J15" s="9"/>
      <c r="K15" s="9"/>
      <c r="L15" s="9"/>
      <c r="M15" s="9"/>
      <c r="N15" s="9"/>
      <c r="O15" s="9"/>
      <c r="P15" s="9"/>
      <c r="Q15" s="9"/>
      <c r="R15" s="9"/>
      <c r="S15" s="9"/>
      <c r="T15" s="10"/>
      <c r="U15" s="10"/>
      <c r="V15" s="10"/>
      <c r="W15" s="10"/>
      <c r="X15" s="10"/>
      <c r="Y15" s="10"/>
      <c r="Z15" s="10"/>
    </row>
    <row r="16" spans="1:26" ht="14.4">
      <c r="A16" s="6" t="s">
        <v>178</v>
      </c>
      <c r="B16" s="9"/>
      <c r="C16" s="9"/>
      <c r="D16" s="9"/>
      <c r="E16" s="9" t="s">
        <v>308</v>
      </c>
      <c r="F16" s="9"/>
      <c r="G16" s="9"/>
      <c r="H16" s="9"/>
      <c r="I16" s="9"/>
      <c r="J16" s="9"/>
      <c r="K16" s="9"/>
      <c r="L16" s="9"/>
      <c r="M16" s="9"/>
      <c r="N16" s="9"/>
      <c r="O16" s="9"/>
      <c r="P16" s="9"/>
      <c r="Q16" s="9"/>
      <c r="R16" s="9"/>
      <c r="S16" s="9"/>
      <c r="T16" s="10"/>
      <c r="U16" s="10"/>
      <c r="V16" s="10"/>
      <c r="W16" s="10"/>
      <c r="X16" s="10"/>
      <c r="Y16" s="10"/>
      <c r="Z16" s="10"/>
    </row>
    <row r="17" spans="1:26" ht="14.4">
      <c r="A17" s="6"/>
      <c r="B17" s="9"/>
      <c r="C17" s="9"/>
      <c r="D17" s="9"/>
      <c r="E17" s="9"/>
      <c r="F17" s="9"/>
      <c r="G17" s="9"/>
      <c r="H17" s="9"/>
      <c r="I17" s="9"/>
      <c r="J17" s="9"/>
      <c r="K17" s="9"/>
      <c r="L17" s="9"/>
      <c r="M17" s="9"/>
      <c r="N17" s="9"/>
      <c r="O17" s="9"/>
      <c r="P17" s="9"/>
      <c r="Q17" s="9"/>
      <c r="R17" s="9"/>
      <c r="S17" s="9"/>
      <c r="T17" s="10"/>
      <c r="U17" s="10"/>
      <c r="V17" s="10"/>
      <c r="W17" s="10"/>
      <c r="X17" s="10"/>
      <c r="Y17" s="10"/>
      <c r="Z17" s="10"/>
    </row>
    <row r="18" spans="1:26" ht="14.4">
      <c r="A18" s="6" t="s">
        <v>181</v>
      </c>
      <c r="B18" s="9"/>
      <c r="C18" s="9"/>
      <c r="D18" s="9"/>
      <c r="E18" s="9" t="s">
        <v>346</v>
      </c>
      <c r="F18" s="9"/>
      <c r="G18" s="9"/>
      <c r="H18" s="9"/>
      <c r="I18" s="9"/>
      <c r="J18" s="9"/>
      <c r="K18" s="9"/>
      <c r="L18" s="9"/>
      <c r="M18" s="9"/>
      <c r="N18" s="9"/>
      <c r="O18" s="9"/>
      <c r="P18" s="9"/>
      <c r="Q18" s="9"/>
      <c r="R18" s="9"/>
      <c r="S18" s="9"/>
      <c r="T18" s="10"/>
      <c r="U18" s="10"/>
      <c r="V18" s="10"/>
      <c r="W18" s="10"/>
      <c r="X18" s="10"/>
      <c r="Y18" s="10"/>
      <c r="Z18" s="10"/>
    </row>
    <row r="19" spans="1:26" ht="14.4">
      <c r="A19" s="6"/>
      <c r="B19" s="9"/>
      <c r="C19" s="9"/>
      <c r="D19" s="9"/>
      <c r="E19" s="9"/>
      <c r="F19" s="9"/>
      <c r="G19" s="9"/>
      <c r="H19" s="9"/>
      <c r="I19" s="9"/>
      <c r="J19" s="9"/>
      <c r="K19" s="9"/>
      <c r="L19" s="9"/>
      <c r="M19" s="9"/>
      <c r="N19" s="9"/>
      <c r="O19" s="9"/>
      <c r="P19" s="9"/>
      <c r="Q19" s="9"/>
      <c r="R19" s="9"/>
      <c r="S19" s="9"/>
      <c r="T19" s="10"/>
      <c r="U19" s="10"/>
      <c r="V19" s="10"/>
      <c r="W19" s="10"/>
      <c r="X19" s="10"/>
      <c r="Y19" s="10"/>
      <c r="Z19" s="10"/>
    </row>
    <row r="20" spans="1:26" ht="14.4">
      <c r="A20" s="5" t="s">
        <v>261</v>
      </c>
      <c r="B20" s="9"/>
      <c r="C20" s="9"/>
      <c r="D20" s="9"/>
      <c r="E20" s="9"/>
      <c r="F20" s="9"/>
      <c r="G20" s="9"/>
      <c r="H20" s="9"/>
      <c r="I20" s="9"/>
      <c r="J20" s="9"/>
      <c r="K20" s="9"/>
      <c r="L20" s="9"/>
      <c r="M20" s="9"/>
      <c r="N20" s="9"/>
      <c r="O20" s="9"/>
      <c r="P20" s="9"/>
      <c r="Q20" s="9"/>
      <c r="R20" s="9"/>
      <c r="S20" s="9"/>
      <c r="T20" s="10"/>
      <c r="U20" s="10"/>
      <c r="V20" s="10"/>
      <c r="W20" s="10"/>
      <c r="X20" s="10"/>
      <c r="Y20" s="10"/>
      <c r="Z20" s="10"/>
    </row>
    <row r="21" spans="1:26" ht="14.4">
      <c r="A21" s="6" t="s">
        <v>96</v>
      </c>
      <c r="B21" s="9"/>
      <c r="C21" s="9"/>
      <c r="D21" s="9"/>
      <c r="E21" s="9" t="s">
        <v>262</v>
      </c>
      <c r="F21" s="9"/>
      <c r="G21" s="9"/>
      <c r="H21" s="9"/>
      <c r="I21" s="9"/>
      <c r="J21" s="9"/>
      <c r="K21" s="9"/>
      <c r="L21" s="9"/>
      <c r="M21" s="9"/>
      <c r="N21" s="9"/>
      <c r="O21" s="9"/>
      <c r="P21" s="9"/>
      <c r="Q21" s="9"/>
      <c r="R21" s="9"/>
      <c r="S21" s="9"/>
      <c r="T21" s="10"/>
      <c r="U21" s="10"/>
      <c r="V21" s="10"/>
      <c r="W21" s="10"/>
      <c r="X21" s="10"/>
      <c r="Y21" s="10"/>
      <c r="Z21" s="10"/>
    </row>
    <row r="22" spans="1:26" ht="14.4">
      <c r="A22" s="6"/>
      <c r="B22" s="9"/>
      <c r="C22" s="9"/>
      <c r="D22" s="9"/>
      <c r="E22" s="9" t="s">
        <v>309</v>
      </c>
      <c r="F22" s="9"/>
      <c r="G22" s="9"/>
      <c r="H22" s="9"/>
      <c r="I22" s="9"/>
      <c r="J22" s="9"/>
      <c r="K22" s="9"/>
      <c r="L22" s="9"/>
      <c r="M22" s="9"/>
      <c r="N22" s="9"/>
      <c r="O22" s="9"/>
      <c r="P22" s="9"/>
      <c r="Q22" s="9"/>
      <c r="R22" s="9"/>
      <c r="S22" s="9"/>
      <c r="T22" s="10"/>
      <c r="U22" s="10"/>
      <c r="V22" s="10"/>
      <c r="W22" s="10"/>
      <c r="X22" s="10"/>
      <c r="Y22" s="10"/>
      <c r="Z22" s="10"/>
    </row>
    <row r="23" spans="1:26" ht="14.4">
      <c r="A23" s="6"/>
      <c r="B23" s="9"/>
      <c r="C23" s="9"/>
      <c r="D23" s="9"/>
      <c r="E23" s="9"/>
      <c r="F23" s="9"/>
      <c r="G23" s="9"/>
      <c r="H23" s="9"/>
      <c r="I23" s="9"/>
      <c r="J23" s="9"/>
      <c r="K23" s="9"/>
      <c r="L23" s="9"/>
      <c r="M23" s="9"/>
      <c r="N23" s="9"/>
      <c r="O23" s="9"/>
      <c r="P23" s="9"/>
      <c r="Q23" s="9"/>
      <c r="R23" s="9"/>
      <c r="S23" s="9"/>
      <c r="T23" s="10"/>
      <c r="U23" s="10"/>
      <c r="V23" s="10"/>
      <c r="W23" s="10"/>
      <c r="X23" s="10"/>
      <c r="Y23" s="10"/>
      <c r="Z23" s="10"/>
    </row>
    <row r="24" spans="1:26" ht="14.4">
      <c r="A24" s="6" t="s">
        <v>263</v>
      </c>
      <c r="B24" s="9"/>
      <c r="C24" s="9"/>
      <c r="D24" s="9"/>
      <c r="E24" s="9" t="s">
        <v>264</v>
      </c>
      <c r="F24" s="9"/>
      <c r="G24" s="9"/>
      <c r="H24" s="9"/>
      <c r="I24" s="9"/>
      <c r="J24" s="9"/>
      <c r="K24" s="9"/>
      <c r="L24" s="9"/>
      <c r="M24" s="9"/>
      <c r="N24" s="9"/>
      <c r="O24" s="9"/>
      <c r="P24" s="9"/>
      <c r="Q24" s="9"/>
      <c r="R24" s="9"/>
      <c r="S24" s="9"/>
      <c r="T24" s="10"/>
      <c r="U24" s="10"/>
      <c r="V24" s="10"/>
      <c r="W24" s="10"/>
      <c r="X24" s="10"/>
      <c r="Y24" s="10"/>
      <c r="Z24" s="10"/>
    </row>
    <row r="25" spans="1:26" ht="14.4">
      <c r="A25" s="6"/>
      <c r="B25" s="9"/>
      <c r="C25" s="9"/>
      <c r="D25" s="9"/>
      <c r="E25" s="9"/>
      <c r="F25" s="9"/>
      <c r="G25" s="9"/>
      <c r="H25" s="9"/>
      <c r="I25" s="9"/>
      <c r="J25" s="9"/>
      <c r="K25" s="9"/>
      <c r="L25" s="9"/>
      <c r="M25" s="9"/>
      <c r="N25" s="9"/>
      <c r="O25" s="9"/>
      <c r="P25" s="9"/>
      <c r="Q25" s="9"/>
      <c r="R25" s="9"/>
      <c r="S25" s="9"/>
    </row>
    <row r="26" spans="1:26" ht="18">
      <c r="A26" s="24" t="s">
        <v>313</v>
      </c>
      <c r="B26" s="10"/>
      <c r="C26" s="10"/>
      <c r="D26" s="10"/>
      <c r="E26" s="10"/>
      <c r="F26" s="10"/>
      <c r="G26" s="10"/>
      <c r="H26" s="10"/>
      <c r="I26" s="10"/>
      <c r="J26" s="10"/>
      <c r="K26" s="10"/>
      <c r="L26" s="10"/>
      <c r="M26" s="10"/>
      <c r="N26" s="10"/>
      <c r="O26" s="10"/>
      <c r="P26" s="10"/>
      <c r="Q26" s="10"/>
      <c r="R26" s="10"/>
      <c r="S26" s="10"/>
    </row>
    <row r="27" spans="1:26" ht="13.8">
      <c r="A27" s="10"/>
      <c r="B27" s="10"/>
      <c r="C27" s="10"/>
      <c r="D27" s="10"/>
      <c r="E27" s="10"/>
      <c r="F27" s="10"/>
      <c r="G27" s="10"/>
      <c r="H27" s="10"/>
      <c r="I27" s="10"/>
      <c r="J27" s="10"/>
      <c r="K27" s="10"/>
      <c r="L27" s="10"/>
      <c r="M27" s="10"/>
      <c r="N27" s="10"/>
      <c r="O27" s="10"/>
      <c r="P27" s="10"/>
      <c r="Q27" s="10"/>
      <c r="R27" s="10"/>
      <c r="S27" s="10"/>
    </row>
    <row r="28" spans="1:26" ht="14.4">
      <c r="A28" s="6" t="s">
        <v>265</v>
      </c>
      <c r="B28" s="10"/>
      <c r="C28" s="10"/>
      <c r="D28" s="10"/>
      <c r="E28" s="9" t="s">
        <v>310</v>
      </c>
      <c r="F28" s="9"/>
      <c r="G28" s="9"/>
      <c r="H28" s="9"/>
      <c r="I28" s="9"/>
      <c r="J28" s="9"/>
      <c r="K28" s="9"/>
      <c r="L28" s="9"/>
      <c r="M28" s="9"/>
      <c r="N28" s="9"/>
      <c r="O28" s="9"/>
      <c r="P28" s="9"/>
      <c r="Q28" s="9"/>
      <c r="R28" s="9"/>
      <c r="S28" s="9"/>
      <c r="T28" s="11"/>
    </row>
    <row r="29" spans="1:26" ht="14.4">
      <c r="A29" s="6" t="s">
        <v>266</v>
      </c>
      <c r="B29" s="10"/>
      <c r="C29" s="10"/>
      <c r="D29" s="10"/>
      <c r="E29" s="9" t="s">
        <v>311</v>
      </c>
      <c r="F29" s="9"/>
      <c r="G29" s="9"/>
      <c r="H29" s="9"/>
      <c r="I29" s="9"/>
      <c r="J29" s="9"/>
      <c r="K29" s="9"/>
      <c r="L29" s="9"/>
      <c r="M29" s="9"/>
      <c r="N29" s="9"/>
      <c r="O29" s="9"/>
      <c r="P29" s="9"/>
      <c r="Q29" s="9"/>
      <c r="R29" s="9"/>
      <c r="S29" s="9"/>
      <c r="T29" s="11"/>
    </row>
    <row r="30" spans="1:26" ht="14.4">
      <c r="A30" s="6" t="s">
        <v>267</v>
      </c>
      <c r="B30" s="10"/>
      <c r="C30" s="10"/>
      <c r="D30" s="10"/>
      <c r="E30" s="9" t="s">
        <v>268</v>
      </c>
      <c r="F30" s="9"/>
      <c r="G30" s="9"/>
      <c r="H30" s="9"/>
      <c r="I30" s="9"/>
      <c r="J30" s="9"/>
      <c r="K30" s="9"/>
      <c r="L30" s="9"/>
      <c r="M30" s="9"/>
      <c r="N30" s="9"/>
      <c r="O30" s="9"/>
      <c r="P30" s="9"/>
      <c r="Q30" s="9"/>
      <c r="R30" s="9"/>
      <c r="S30" s="9"/>
      <c r="T30" s="11"/>
    </row>
    <row r="31" spans="1:26" ht="14.4">
      <c r="A31" s="6" t="s">
        <v>269</v>
      </c>
      <c r="B31" s="10"/>
      <c r="C31" s="10"/>
      <c r="D31" s="10"/>
      <c r="E31" s="9" t="s">
        <v>270</v>
      </c>
      <c r="F31" s="9"/>
      <c r="G31" s="9"/>
      <c r="H31" s="9"/>
      <c r="I31" s="9"/>
      <c r="J31" s="9"/>
      <c r="K31" s="9"/>
      <c r="L31" s="9"/>
      <c r="M31" s="9"/>
      <c r="N31" s="9"/>
      <c r="O31" s="9"/>
      <c r="P31" s="9"/>
      <c r="Q31" s="9"/>
      <c r="R31" s="9"/>
      <c r="S31" s="9"/>
      <c r="T31" s="11"/>
    </row>
    <row r="32" spans="1:26" ht="14.4">
      <c r="B32" s="9"/>
      <c r="C32" s="9"/>
      <c r="D32" s="9"/>
      <c r="E32" s="9"/>
      <c r="F32" s="9"/>
      <c r="G32" s="9"/>
      <c r="H32" s="9"/>
      <c r="I32" s="9"/>
      <c r="J32" s="9"/>
      <c r="K32" s="9"/>
      <c r="L32" s="9"/>
      <c r="M32" s="9"/>
      <c r="N32" s="9"/>
      <c r="O32" s="9"/>
      <c r="P32" s="9"/>
      <c r="Q32" s="9"/>
      <c r="R32" s="10"/>
      <c r="S32" s="10"/>
    </row>
    <row r="33" spans="1:19" ht="14.4">
      <c r="A33" s="5" t="s">
        <v>271</v>
      </c>
      <c r="R33" s="10"/>
      <c r="S33" s="10"/>
    </row>
    <row r="34" spans="1:19" ht="14.4">
      <c r="A34" s="6" t="s">
        <v>125</v>
      </c>
      <c r="E34" s="9" t="s">
        <v>312</v>
      </c>
      <c r="R34" s="10"/>
      <c r="S34" s="10"/>
    </row>
    <row r="35" spans="1:19" ht="14.4">
      <c r="A35" s="8" t="s">
        <v>22</v>
      </c>
      <c r="B35" s="9"/>
      <c r="C35" s="9"/>
      <c r="D35" s="9"/>
      <c r="E35" s="9" t="s">
        <v>314</v>
      </c>
      <c r="F35" s="9"/>
      <c r="G35" s="9"/>
      <c r="H35" s="9"/>
      <c r="I35" s="9"/>
      <c r="J35" s="9"/>
      <c r="K35" s="9"/>
      <c r="L35" s="9"/>
      <c r="M35" s="9"/>
      <c r="N35" s="9"/>
      <c r="O35" s="9"/>
      <c r="P35" s="9"/>
      <c r="Q35" s="9"/>
      <c r="R35" s="10"/>
      <c r="S35" s="10"/>
    </row>
    <row r="36" spans="1:19" ht="14.4">
      <c r="A36" s="6" t="s">
        <v>272</v>
      </c>
      <c r="B36" s="9"/>
      <c r="C36" s="9"/>
      <c r="D36" s="9"/>
      <c r="E36" s="9" t="s">
        <v>273</v>
      </c>
      <c r="F36" s="9"/>
      <c r="G36" s="9"/>
      <c r="H36" s="9"/>
      <c r="I36" s="9"/>
      <c r="J36" s="9"/>
      <c r="K36" s="9"/>
      <c r="L36" s="9"/>
      <c r="M36" s="9"/>
      <c r="N36" s="9"/>
      <c r="O36" s="9"/>
      <c r="P36" s="9"/>
      <c r="Q36" s="9"/>
      <c r="R36" s="10"/>
      <c r="S36" s="10"/>
    </row>
    <row r="37" spans="1:19" ht="14.4">
      <c r="A37" s="6" t="s">
        <v>274</v>
      </c>
      <c r="B37" s="9"/>
      <c r="C37" s="9"/>
      <c r="D37" s="9"/>
      <c r="E37" s="9" t="s">
        <v>315</v>
      </c>
      <c r="F37" s="9"/>
      <c r="G37" s="9"/>
      <c r="H37" s="9"/>
      <c r="I37" s="9"/>
      <c r="J37" s="9"/>
      <c r="K37" s="9"/>
      <c r="L37" s="9"/>
      <c r="M37" s="9"/>
      <c r="N37" s="9"/>
      <c r="O37" s="9"/>
      <c r="P37" s="9"/>
      <c r="Q37" s="9"/>
      <c r="R37" s="10"/>
      <c r="S37" s="10"/>
    </row>
    <row r="38" spans="1:19" ht="14.4">
      <c r="A38" s="6" t="s">
        <v>234</v>
      </c>
      <c r="B38" s="9"/>
      <c r="C38" s="9"/>
      <c r="D38" s="9"/>
      <c r="E38" s="9" t="s">
        <v>275</v>
      </c>
      <c r="F38" s="9"/>
      <c r="G38" s="9"/>
      <c r="H38" s="9"/>
      <c r="I38" s="9"/>
      <c r="J38" s="9"/>
      <c r="K38" s="9"/>
      <c r="L38" s="9"/>
      <c r="M38" s="9"/>
      <c r="N38" s="9"/>
      <c r="O38" s="9"/>
      <c r="P38" s="9"/>
      <c r="Q38" s="9"/>
      <c r="R38" s="10"/>
      <c r="S38" s="10"/>
    </row>
    <row r="39" spans="1:19" ht="14.4">
      <c r="A39" s="6" t="s">
        <v>276</v>
      </c>
      <c r="B39" s="9"/>
      <c r="C39" s="9"/>
      <c r="D39" s="9"/>
      <c r="E39" s="9" t="s">
        <v>316</v>
      </c>
      <c r="F39" s="9"/>
      <c r="G39" s="9"/>
      <c r="H39" s="9"/>
      <c r="I39" s="9"/>
      <c r="J39" s="9"/>
      <c r="K39" s="9"/>
      <c r="L39" s="9"/>
      <c r="M39" s="9"/>
      <c r="N39" s="9"/>
      <c r="O39" s="9"/>
      <c r="P39" s="9"/>
      <c r="Q39" s="9"/>
      <c r="R39" s="10"/>
      <c r="S39" s="10"/>
    </row>
    <row r="40" spans="1:19" ht="13.8">
      <c r="R40" s="10"/>
      <c r="S40" s="10"/>
    </row>
    <row r="41" spans="1:19" ht="14.4">
      <c r="A41" s="5" t="s">
        <v>23</v>
      </c>
      <c r="B41" s="9"/>
      <c r="C41" s="9"/>
      <c r="D41" s="9"/>
      <c r="E41" s="9"/>
      <c r="F41" s="9"/>
      <c r="G41" s="9"/>
      <c r="H41" s="9"/>
      <c r="I41" s="9"/>
      <c r="J41" s="9"/>
      <c r="K41" s="9"/>
      <c r="L41" s="9"/>
      <c r="M41" s="9"/>
      <c r="N41" s="9"/>
      <c r="O41" s="9"/>
      <c r="P41" s="9"/>
      <c r="Q41" s="9"/>
      <c r="R41" s="10"/>
      <c r="S41" s="10"/>
    </row>
    <row r="42" spans="1:19" ht="14.4">
      <c r="A42" s="6" t="s">
        <v>277</v>
      </c>
      <c r="B42" s="9"/>
      <c r="C42" s="9"/>
      <c r="D42" s="9"/>
      <c r="E42" s="9" t="s">
        <v>317</v>
      </c>
      <c r="F42" s="9"/>
      <c r="G42" s="9"/>
      <c r="H42" s="9"/>
      <c r="I42" s="9"/>
      <c r="J42" s="9"/>
      <c r="K42" s="9"/>
      <c r="L42" s="9"/>
      <c r="M42" s="9"/>
      <c r="N42" s="9"/>
      <c r="O42" s="9"/>
      <c r="P42" s="9"/>
      <c r="Q42" s="9"/>
      <c r="R42" s="10"/>
      <c r="S42" s="10"/>
    </row>
    <row r="43" spans="1:19" ht="14.4">
      <c r="A43" s="6" t="s">
        <v>278</v>
      </c>
      <c r="B43" s="9"/>
      <c r="C43" s="9"/>
      <c r="D43" s="9"/>
      <c r="E43" s="9" t="s">
        <v>318</v>
      </c>
      <c r="F43" s="9"/>
      <c r="G43" s="9"/>
      <c r="H43" s="9"/>
      <c r="I43" s="9"/>
      <c r="J43" s="9"/>
      <c r="K43" s="9"/>
      <c r="L43" s="9"/>
      <c r="M43" s="9"/>
      <c r="N43" s="9"/>
      <c r="O43" s="9"/>
      <c r="P43" s="9"/>
      <c r="Q43" s="9"/>
      <c r="R43" s="10"/>
      <c r="S43" s="10"/>
    </row>
    <row r="44" spans="1:19" ht="14.4">
      <c r="A44" s="6" t="s">
        <v>279</v>
      </c>
      <c r="B44" s="9"/>
      <c r="C44" s="9"/>
      <c r="D44" s="9"/>
      <c r="E44" s="9" t="s">
        <v>319</v>
      </c>
      <c r="F44" s="9"/>
      <c r="G44" s="9"/>
      <c r="H44" s="9"/>
      <c r="I44" s="9"/>
      <c r="J44" s="9"/>
      <c r="K44" s="9"/>
      <c r="L44" s="9"/>
      <c r="M44" s="9"/>
      <c r="N44" s="9"/>
      <c r="O44" s="9"/>
      <c r="P44" s="9"/>
      <c r="Q44" s="9"/>
      <c r="R44" s="10"/>
      <c r="S44" s="10"/>
    </row>
    <row r="45" spans="1:19" ht="14.4">
      <c r="A45" s="6" t="s">
        <v>280</v>
      </c>
      <c r="B45" s="9"/>
      <c r="C45" s="9"/>
      <c r="D45" s="9"/>
      <c r="E45" s="9" t="s">
        <v>281</v>
      </c>
      <c r="F45" s="9"/>
      <c r="G45" s="9"/>
      <c r="H45" s="9"/>
      <c r="I45" s="9"/>
      <c r="J45" s="9"/>
      <c r="K45" s="9"/>
      <c r="L45" s="9"/>
      <c r="M45" s="9"/>
      <c r="N45" s="9"/>
      <c r="O45" s="9"/>
      <c r="P45" s="9"/>
      <c r="Q45" s="9"/>
      <c r="R45" s="10"/>
      <c r="S45" s="10"/>
    </row>
    <row r="46" spans="1:19" ht="14.4">
      <c r="A46" s="6" t="s">
        <v>282</v>
      </c>
      <c r="B46" s="9"/>
      <c r="C46" s="9"/>
      <c r="D46" s="9"/>
      <c r="E46" s="9" t="s">
        <v>283</v>
      </c>
      <c r="F46" s="9"/>
      <c r="G46" s="9"/>
      <c r="H46" s="9"/>
      <c r="I46" s="9"/>
      <c r="J46" s="9"/>
      <c r="K46" s="9"/>
      <c r="L46" s="9"/>
      <c r="M46" s="9"/>
      <c r="N46" s="9"/>
      <c r="O46" s="9"/>
      <c r="P46" s="9"/>
      <c r="Q46" s="9"/>
      <c r="R46" s="10"/>
      <c r="S46" s="10"/>
    </row>
    <row r="47" spans="1:19" ht="14.4">
      <c r="A47" s="6" t="s">
        <v>284</v>
      </c>
      <c r="B47" s="9"/>
      <c r="C47" s="9"/>
      <c r="D47" s="9"/>
      <c r="E47" s="9" t="s">
        <v>285</v>
      </c>
      <c r="F47" s="9"/>
      <c r="G47" s="9"/>
      <c r="H47" s="9"/>
      <c r="I47" s="9"/>
      <c r="J47" s="9"/>
      <c r="K47" s="9"/>
      <c r="L47" s="9"/>
      <c r="M47" s="9"/>
      <c r="N47" s="9"/>
      <c r="O47" s="9"/>
      <c r="P47" s="9"/>
      <c r="Q47" s="9"/>
      <c r="R47" s="10"/>
      <c r="S47" s="10"/>
    </row>
    <row r="48" spans="1:19" ht="14.4">
      <c r="A48" s="6" t="s">
        <v>24</v>
      </c>
      <c r="B48" s="9"/>
      <c r="C48" s="9"/>
      <c r="D48" s="9"/>
      <c r="E48" s="9" t="s">
        <v>286</v>
      </c>
      <c r="F48" s="9"/>
      <c r="G48" s="9"/>
      <c r="H48" s="9"/>
      <c r="I48" s="9"/>
      <c r="J48" s="9"/>
      <c r="K48" s="9"/>
      <c r="L48" s="9"/>
      <c r="M48" s="9"/>
      <c r="N48" s="9"/>
      <c r="O48" s="9"/>
      <c r="P48" s="9"/>
      <c r="Q48" s="9"/>
      <c r="R48" s="10"/>
      <c r="S48" s="10"/>
    </row>
    <row r="49" spans="1:20" ht="14.4">
      <c r="A49" s="6" t="s">
        <v>287</v>
      </c>
      <c r="B49" s="9"/>
      <c r="C49" s="9"/>
      <c r="D49" s="9"/>
      <c r="E49" s="9" t="s">
        <v>288</v>
      </c>
      <c r="F49" s="9"/>
      <c r="G49" s="9"/>
      <c r="H49" s="9"/>
      <c r="I49" s="9"/>
      <c r="J49" s="9"/>
      <c r="K49" s="9"/>
      <c r="L49" s="9"/>
      <c r="M49" s="9"/>
      <c r="N49" s="9"/>
      <c r="O49" s="9"/>
      <c r="P49" s="9"/>
      <c r="Q49" s="9"/>
      <c r="R49" s="10"/>
      <c r="S49" s="10"/>
    </row>
    <row r="50" spans="1:20" ht="14.4">
      <c r="A50" s="6" t="s">
        <v>289</v>
      </c>
      <c r="B50" s="9"/>
      <c r="C50" s="9"/>
      <c r="D50" s="9"/>
      <c r="E50" s="9" t="s">
        <v>290</v>
      </c>
      <c r="F50" s="9"/>
      <c r="G50" s="9"/>
      <c r="H50" s="9"/>
      <c r="I50" s="9"/>
      <c r="J50" s="9"/>
      <c r="K50" s="9"/>
      <c r="L50" s="9"/>
      <c r="M50" s="9"/>
      <c r="N50" s="9"/>
      <c r="O50" s="9"/>
      <c r="P50" s="9"/>
      <c r="Q50" s="9"/>
      <c r="R50" s="10"/>
      <c r="S50" s="10"/>
    </row>
    <row r="51" spans="1:20" ht="14.4">
      <c r="A51" s="6"/>
      <c r="B51" s="9"/>
      <c r="C51" s="9"/>
      <c r="D51" s="9"/>
      <c r="F51" s="9"/>
      <c r="G51" s="9"/>
      <c r="H51" s="9"/>
      <c r="I51" s="9"/>
      <c r="J51" s="9"/>
      <c r="K51" s="9"/>
      <c r="L51" s="9"/>
      <c r="M51" s="9"/>
      <c r="N51" s="9"/>
      <c r="O51" s="9"/>
      <c r="P51" s="9"/>
      <c r="Q51" s="9"/>
      <c r="R51" s="10"/>
      <c r="S51" s="10"/>
    </row>
    <row r="52" spans="1:20" ht="14.4">
      <c r="A52" s="5" t="s">
        <v>25</v>
      </c>
      <c r="B52" s="9"/>
      <c r="C52" s="9"/>
      <c r="D52" s="9"/>
      <c r="E52" s="9"/>
      <c r="F52" s="9"/>
      <c r="G52" s="9"/>
      <c r="H52" s="9"/>
      <c r="I52" s="9"/>
      <c r="J52" s="9"/>
      <c r="K52" s="9"/>
      <c r="L52" s="9"/>
      <c r="M52" s="9"/>
      <c r="N52" s="9"/>
      <c r="O52" s="9"/>
      <c r="P52" s="9"/>
      <c r="Q52" s="9"/>
      <c r="R52" s="10"/>
      <c r="S52" s="10"/>
    </row>
    <row r="53" spans="1:20" ht="14.4">
      <c r="A53" s="6" t="s">
        <v>291</v>
      </c>
      <c r="B53" s="9"/>
      <c r="C53" s="9"/>
      <c r="D53" s="9"/>
      <c r="E53" s="9" t="s">
        <v>320</v>
      </c>
      <c r="F53" s="9"/>
      <c r="G53" s="9"/>
      <c r="H53" s="9"/>
      <c r="I53" s="9"/>
      <c r="J53" s="9"/>
      <c r="K53" s="9"/>
      <c r="L53" s="9"/>
      <c r="M53" s="9"/>
      <c r="N53" s="9"/>
      <c r="O53" s="9"/>
      <c r="P53" s="9"/>
      <c r="Q53" s="9"/>
      <c r="R53" s="10"/>
      <c r="S53" s="10"/>
    </row>
    <row r="54" spans="1:20" ht="14.4">
      <c r="A54" s="6" t="s">
        <v>292</v>
      </c>
      <c r="E54" s="9" t="s">
        <v>321</v>
      </c>
      <c r="S54" s="10"/>
      <c r="T54" s="3" t="s">
        <v>26</v>
      </c>
    </row>
    <row r="55" spans="1:20" ht="14.4">
      <c r="A55" s="6" t="s">
        <v>293</v>
      </c>
      <c r="E55" s="9" t="s">
        <v>320</v>
      </c>
      <c r="S55" s="10"/>
    </row>
    <row r="56" spans="1:20" ht="14.4">
      <c r="A56" s="6"/>
      <c r="E56" s="9"/>
      <c r="S56" s="10"/>
    </row>
    <row r="57" spans="1:20" ht="14.4">
      <c r="A57" s="6" t="s">
        <v>150</v>
      </c>
      <c r="E57" s="9" t="s">
        <v>322</v>
      </c>
      <c r="S57" s="10"/>
    </row>
    <row r="58" spans="1:20" ht="14.4">
      <c r="A58" s="9"/>
      <c r="B58" s="9"/>
      <c r="C58" s="9"/>
      <c r="D58" s="9"/>
      <c r="E58" s="9"/>
      <c r="F58" s="9"/>
      <c r="G58" s="9"/>
      <c r="H58" s="9"/>
      <c r="I58" s="9"/>
      <c r="J58" s="9"/>
      <c r="K58" s="9"/>
      <c r="L58" s="9"/>
      <c r="M58" s="9"/>
      <c r="N58" s="9"/>
      <c r="O58" s="9"/>
      <c r="P58" s="9"/>
      <c r="Q58" s="9"/>
      <c r="R58" s="10"/>
      <c r="S58" s="10"/>
    </row>
    <row r="59" spans="1:20" ht="14.4">
      <c r="A59" s="6" t="s">
        <v>101</v>
      </c>
      <c r="B59" s="9"/>
      <c r="C59" s="9"/>
      <c r="D59" s="9"/>
      <c r="E59" s="9" t="s">
        <v>294</v>
      </c>
      <c r="F59" s="9"/>
      <c r="G59" s="9"/>
      <c r="H59" s="9"/>
      <c r="I59" s="9"/>
      <c r="J59" s="9"/>
      <c r="K59" s="9"/>
      <c r="L59" s="9"/>
      <c r="M59" s="9"/>
      <c r="N59" s="9"/>
      <c r="O59" s="9"/>
      <c r="P59" s="9"/>
      <c r="Q59" s="9"/>
      <c r="R59" s="10"/>
      <c r="S59" s="10"/>
    </row>
    <row r="60" spans="1:20" ht="14.4">
      <c r="A60" s="6"/>
      <c r="B60" s="9"/>
      <c r="C60" s="9"/>
      <c r="D60" s="9"/>
      <c r="E60" s="9"/>
      <c r="F60" s="9"/>
      <c r="G60" s="9"/>
      <c r="H60" s="9"/>
      <c r="I60" s="9"/>
      <c r="J60" s="9"/>
      <c r="K60" s="9"/>
      <c r="L60" s="9"/>
      <c r="M60" s="9"/>
      <c r="N60" s="9"/>
      <c r="O60" s="9"/>
      <c r="P60" s="9"/>
      <c r="Q60" s="9"/>
      <c r="R60" s="10"/>
      <c r="S60" s="10"/>
    </row>
    <row r="61" spans="1:20" ht="14.4">
      <c r="A61" s="6" t="s">
        <v>295</v>
      </c>
      <c r="B61" s="9"/>
      <c r="C61" s="9"/>
      <c r="D61" s="9"/>
      <c r="E61" s="9" t="s">
        <v>296</v>
      </c>
      <c r="F61" s="9"/>
      <c r="G61" s="9"/>
      <c r="H61" s="9"/>
      <c r="I61" s="9"/>
      <c r="J61" s="9"/>
      <c r="K61" s="9"/>
      <c r="L61" s="9"/>
      <c r="M61" s="9"/>
      <c r="N61" s="9"/>
      <c r="O61" s="9"/>
      <c r="P61" s="9"/>
      <c r="Q61" s="9"/>
      <c r="R61" s="10"/>
      <c r="S61" s="10"/>
    </row>
    <row r="62" spans="1:20" ht="14.4">
      <c r="A62" s="6"/>
      <c r="B62" s="9"/>
      <c r="C62" s="9"/>
      <c r="D62" s="9"/>
      <c r="E62" s="9" t="s">
        <v>323</v>
      </c>
      <c r="F62" s="9"/>
      <c r="G62" s="9"/>
      <c r="H62" s="9"/>
      <c r="I62" s="9"/>
      <c r="J62" s="9"/>
      <c r="K62" s="9"/>
      <c r="L62" s="9"/>
      <c r="M62" s="9"/>
      <c r="N62" s="9"/>
      <c r="O62" s="9"/>
      <c r="P62" s="9"/>
      <c r="Q62" s="9"/>
      <c r="R62" s="10"/>
      <c r="S62" s="10"/>
    </row>
    <row r="63" spans="1:20" ht="14.4">
      <c r="A63" s="6" t="s">
        <v>99</v>
      </c>
      <c r="B63" s="9"/>
      <c r="C63" s="9"/>
      <c r="D63" s="9"/>
      <c r="E63" s="9" t="s">
        <v>324</v>
      </c>
      <c r="F63" s="9"/>
      <c r="G63" s="9"/>
      <c r="H63" s="9"/>
      <c r="I63" s="9"/>
      <c r="J63" s="9"/>
      <c r="K63" s="9"/>
      <c r="L63" s="9"/>
      <c r="M63" s="9"/>
      <c r="N63" s="9"/>
      <c r="O63" s="9"/>
      <c r="P63" s="9"/>
      <c r="Q63" s="9"/>
      <c r="R63" s="10"/>
      <c r="S63" s="10"/>
    </row>
    <row r="64" spans="1:20" ht="14.4">
      <c r="A64" s="6"/>
      <c r="B64" s="9"/>
      <c r="C64" s="9"/>
      <c r="D64" s="9"/>
      <c r="E64" s="9"/>
      <c r="F64" s="9"/>
      <c r="G64" s="9"/>
      <c r="H64" s="9"/>
      <c r="I64" s="9"/>
      <c r="J64" s="9"/>
      <c r="K64" s="9"/>
      <c r="L64" s="9"/>
      <c r="M64" s="9"/>
      <c r="N64" s="9"/>
      <c r="O64" s="9"/>
      <c r="P64" s="9"/>
      <c r="Q64" s="9"/>
      <c r="R64" s="10"/>
      <c r="S64" s="10"/>
    </row>
    <row r="65" spans="1:19" ht="14.4">
      <c r="A65" s="5" t="s">
        <v>297</v>
      </c>
      <c r="B65" s="10"/>
      <c r="C65" s="10"/>
      <c r="D65" s="10"/>
      <c r="E65" s="10"/>
      <c r="F65" s="10"/>
      <c r="G65" s="10"/>
      <c r="H65" s="10"/>
      <c r="I65" s="10"/>
      <c r="J65" s="10"/>
      <c r="K65" s="10"/>
      <c r="L65" s="10"/>
      <c r="M65" s="10"/>
      <c r="N65" s="10"/>
      <c r="O65" s="10"/>
      <c r="P65" s="10"/>
      <c r="Q65" s="10"/>
      <c r="R65" s="10"/>
      <c r="S65" s="10"/>
    </row>
    <row r="66" spans="1:19" ht="14.4">
      <c r="A66" s="6" t="s">
        <v>298</v>
      </c>
      <c r="B66" s="10"/>
      <c r="C66" s="10"/>
      <c r="D66" s="10"/>
      <c r="E66" s="9" t="s">
        <v>326</v>
      </c>
      <c r="F66" s="10"/>
      <c r="G66" s="10"/>
      <c r="H66" s="10"/>
      <c r="I66" s="10"/>
      <c r="J66" s="10"/>
      <c r="K66" s="10"/>
      <c r="L66" s="10"/>
      <c r="M66" s="10"/>
      <c r="N66" s="10"/>
      <c r="O66" s="10"/>
      <c r="P66" s="10"/>
      <c r="Q66" s="10"/>
      <c r="R66" s="10"/>
      <c r="S66" s="10"/>
    </row>
    <row r="67" spans="1:19" ht="14.4">
      <c r="A67" s="6"/>
      <c r="B67" s="10"/>
      <c r="C67" s="10"/>
      <c r="D67" s="10"/>
      <c r="E67" s="9" t="s">
        <v>299</v>
      </c>
      <c r="F67" s="10"/>
      <c r="G67" s="10"/>
      <c r="H67" s="10"/>
      <c r="I67" s="10"/>
      <c r="J67" s="10"/>
      <c r="K67" s="10"/>
      <c r="L67" s="10"/>
      <c r="M67" s="10"/>
      <c r="N67" s="10"/>
      <c r="O67" s="10"/>
      <c r="P67" s="10"/>
      <c r="Q67" s="10"/>
      <c r="R67" s="10"/>
      <c r="S67" s="10"/>
    </row>
    <row r="68" spans="1:19" ht="14.4">
      <c r="A68" s="6" t="s">
        <v>300</v>
      </c>
      <c r="B68" s="10"/>
      <c r="C68" s="10"/>
      <c r="D68" s="10"/>
      <c r="E68" s="9" t="s">
        <v>325</v>
      </c>
      <c r="F68" s="10"/>
      <c r="G68" s="10"/>
      <c r="H68" s="10"/>
      <c r="I68" s="10"/>
      <c r="J68" s="10"/>
      <c r="K68" s="10"/>
      <c r="L68" s="10"/>
      <c r="M68" s="10"/>
      <c r="N68" s="10"/>
      <c r="O68" s="10"/>
      <c r="P68" s="10"/>
      <c r="Q68" s="10"/>
      <c r="R68" s="10"/>
      <c r="S68" s="10"/>
    </row>
    <row r="69" spans="1:19" ht="14.4">
      <c r="A69" s="6"/>
      <c r="B69" s="10"/>
      <c r="C69" s="10"/>
      <c r="D69" s="10"/>
      <c r="E69" s="9"/>
      <c r="F69" s="10"/>
      <c r="G69" s="10"/>
      <c r="H69" s="10"/>
      <c r="I69" s="10"/>
      <c r="J69" s="10"/>
      <c r="K69" s="10"/>
      <c r="L69" s="10"/>
      <c r="M69" s="10"/>
      <c r="N69" s="10"/>
      <c r="O69" s="10"/>
      <c r="P69" s="10"/>
      <c r="Q69" s="10"/>
      <c r="R69" s="10"/>
      <c r="S69" s="10"/>
    </row>
    <row r="70" spans="1:19" ht="14.4">
      <c r="A70" s="5" t="s">
        <v>185</v>
      </c>
      <c r="B70" s="10"/>
      <c r="C70" s="10"/>
      <c r="D70" s="10"/>
      <c r="E70" s="9" t="s">
        <v>327</v>
      </c>
      <c r="F70" s="10"/>
      <c r="G70" s="10"/>
      <c r="H70" s="10"/>
      <c r="I70" s="10"/>
      <c r="J70" s="10"/>
      <c r="K70" s="10"/>
      <c r="L70" s="10"/>
      <c r="M70" s="10"/>
      <c r="N70" s="10"/>
      <c r="O70" s="10"/>
      <c r="P70" s="10"/>
      <c r="Q70" s="10"/>
      <c r="R70" s="10"/>
      <c r="S70" s="10"/>
    </row>
    <row r="71" spans="1:19" ht="14.4">
      <c r="A71" s="6"/>
      <c r="B71" s="10"/>
      <c r="C71" s="10"/>
      <c r="D71" s="10"/>
      <c r="E71" s="9"/>
      <c r="F71" s="10"/>
      <c r="G71" s="10"/>
      <c r="H71" s="10"/>
      <c r="I71" s="10"/>
      <c r="J71" s="10"/>
      <c r="K71" s="10"/>
      <c r="L71" s="10"/>
      <c r="M71" s="10"/>
      <c r="N71" s="10"/>
      <c r="O71" s="10"/>
      <c r="P71" s="10"/>
      <c r="Q71" s="10"/>
      <c r="R71" s="10"/>
      <c r="S71" s="10"/>
    </row>
    <row r="72" spans="1:19" ht="14.4">
      <c r="A72" s="5" t="s">
        <v>328</v>
      </c>
      <c r="B72" s="10"/>
      <c r="C72" s="10"/>
      <c r="D72" s="10"/>
      <c r="E72" s="9" t="s">
        <v>329</v>
      </c>
      <c r="F72" s="10"/>
      <c r="G72" s="10"/>
      <c r="H72" s="10"/>
      <c r="I72" s="10"/>
      <c r="J72" s="10"/>
      <c r="K72" s="10"/>
      <c r="L72" s="10"/>
      <c r="M72" s="10"/>
      <c r="N72" s="10"/>
      <c r="O72" s="10"/>
      <c r="P72" s="10"/>
      <c r="Q72" s="10"/>
      <c r="R72" s="10"/>
      <c r="S72" s="10"/>
    </row>
    <row r="73" spans="1:19" ht="14.4">
      <c r="B73" s="10"/>
      <c r="C73" s="10"/>
      <c r="D73" s="10"/>
      <c r="E73" s="9"/>
      <c r="F73" s="10"/>
      <c r="G73" s="10"/>
      <c r="H73" s="10"/>
      <c r="I73" s="10"/>
      <c r="J73" s="10"/>
      <c r="K73" s="10"/>
      <c r="L73" s="10"/>
      <c r="M73" s="10"/>
      <c r="N73" s="10"/>
      <c r="O73" s="10"/>
      <c r="P73" s="10"/>
      <c r="Q73" s="10"/>
      <c r="R73" s="10"/>
      <c r="S73" s="10"/>
    </row>
    <row r="74" spans="1:19" ht="14.4">
      <c r="A74" s="5" t="s">
        <v>183</v>
      </c>
      <c r="B74" s="10"/>
      <c r="C74" s="10"/>
      <c r="D74" s="10"/>
      <c r="E74" s="9" t="s">
        <v>330</v>
      </c>
      <c r="F74" s="10"/>
      <c r="G74" s="10"/>
      <c r="H74" s="10"/>
      <c r="I74" s="10"/>
      <c r="J74" s="10"/>
      <c r="K74" s="10"/>
      <c r="L74" s="10"/>
      <c r="M74" s="10"/>
      <c r="N74" s="10"/>
      <c r="O74" s="10"/>
      <c r="P74" s="10"/>
      <c r="Q74" s="10"/>
      <c r="R74" s="10"/>
      <c r="S74" s="10"/>
    </row>
    <row r="75" spans="1:19" ht="14.4">
      <c r="A75" s="6"/>
      <c r="B75" s="10"/>
      <c r="C75" s="10"/>
      <c r="D75" s="10"/>
      <c r="E75" s="9"/>
      <c r="F75" s="10"/>
      <c r="G75" s="10"/>
      <c r="H75" s="10"/>
      <c r="I75" s="10"/>
      <c r="J75" s="10"/>
      <c r="K75" s="10"/>
      <c r="L75" s="10"/>
      <c r="M75" s="10"/>
      <c r="N75" s="10"/>
      <c r="O75" s="10"/>
      <c r="P75" s="10"/>
      <c r="Q75" s="10"/>
      <c r="R75" s="10"/>
      <c r="S75" s="10"/>
    </row>
    <row r="76" spans="1:19" ht="14.4">
      <c r="A76" s="1333" t="s">
        <v>222</v>
      </c>
      <c r="B76" s="1333"/>
      <c r="C76" s="1333"/>
      <c r="D76" s="1333"/>
      <c r="E76" s="9" t="s">
        <v>331</v>
      </c>
      <c r="F76" s="10"/>
      <c r="G76" s="10"/>
      <c r="H76" s="10"/>
      <c r="I76" s="10"/>
      <c r="J76" s="10"/>
      <c r="K76" s="10"/>
      <c r="L76" s="10"/>
      <c r="M76" s="10"/>
      <c r="N76" s="10"/>
      <c r="O76" s="10"/>
      <c r="P76" s="10"/>
      <c r="Q76" s="10"/>
      <c r="R76" s="10"/>
      <c r="S76" s="10"/>
    </row>
    <row r="77" spans="1:19" ht="14.4">
      <c r="A77" s="1333"/>
      <c r="B77" s="1333"/>
      <c r="C77" s="1333"/>
      <c r="D77" s="1333"/>
      <c r="E77" s="6" t="s">
        <v>372</v>
      </c>
      <c r="F77" s="10"/>
      <c r="G77" s="10"/>
      <c r="H77" s="10"/>
      <c r="I77" s="10"/>
      <c r="J77" s="10"/>
      <c r="K77" s="10"/>
      <c r="L77" s="10"/>
      <c r="M77" s="10"/>
      <c r="N77" s="10"/>
      <c r="O77" s="10"/>
      <c r="P77" s="10"/>
      <c r="Q77" s="10"/>
      <c r="R77" s="10"/>
      <c r="S77" s="10"/>
    </row>
    <row r="78" spans="1:19" ht="14.4">
      <c r="A78" s="6"/>
      <c r="B78" s="10"/>
      <c r="C78" s="10"/>
      <c r="D78" s="10"/>
      <c r="E78" s="9"/>
      <c r="F78" s="10"/>
      <c r="G78" s="10"/>
      <c r="H78" s="10"/>
      <c r="I78" s="10"/>
      <c r="J78" s="10"/>
      <c r="K78" s="10"/>
      <c r="L78" s="10"/>
      <c r="M78" s="10"/>
      <c r="N78" s="10"/>
      <c r="O78" s="10"/>
      <c r="P78" s="10"/>
      <c r="Q78" s="10"/>
      <c r="R78" s="10"/>
      <c r="S78" s="10"/>
    </row>
    <row r="79" spans="1:19" ht="14.4">
      <c r="A79" s="5" t="s">
        <v>216</v>
      </c>
      <c r="B79" s="10"/>
      <c r="C79" s="10"/>
      <c r="D79" s="10"/>
      <c r="E79" s="9" t="s">
        <v>332</v>
      </c>
      <c r="F79" s="10"/>
      <c r="G79" s="10"/>
      <c r="H79" s="10"/>
      <c r="I79" s="10"/>
      <c r="J79" s="10"/>
      <c r="K79" s="10"/>
      <c r="L79" s="10"/>
      <c r="M79" s="10"/>
      <c r="N79" s="10"/>
      <c r="O79" s="10"/>
      <c r="P79" s="10"/>
      <c r="Q79" s="10"/>
      <c r="R79" s="10"/>
      <c r="S79" s="10"/>
    </row>
    <row r="80" spans="1:19" ht="14.4">
      <c r="A80" s="5"/>
      <c r="B80" s="10"/>
      <c r="C80" s="10"/>
      <c r="D80" s="10"/>
      <c r="E80" s="9"/>
      <c r="F80" s="10"/>
      <c r="G80" s="10"/>
      <c r="H80" s="10"/>
      <c r="I80" s="10"/>
      <c r="J80" s="10"/>
      <c r="K80" s="10"/>
      <c r="L80" s="10"/>
      <c r="M80" s="10"/>
      <c r="N80" s="10"/>
      <c r="O80" s="10"/>
      <c r="P80" s="10"/>
      <c r="Q80" s="10"/>
      <c r="R80" s="10"/>
      <c r="S80" s="10"/>
    </row>
    <row r="81" spans="1:26" ht="14.4">
      <c r="A81" s="5" t="s">
        <v>333</v>
      </c>
      <c r="B81" s="10"/>
      <c r="C81" s="10"/>
      <c r="D81" s="10"/>
      <c r="E81" s="9" t="s">
        <v>334</v>
      </c>
      <c r="F81" s="10"/>
      <c r="G81" s="10"/>
      <c r="H81" s="10"/>
      <c r="I81" s="10"/>
      <c r="J81" s="10"/>
      <c r="K81" s="10"/>
      <c r="L81" s="10"/>
      <c r="M81" s="10"/>
      <c r="N81" s="10"/>
      <c r="O81" s="10"/>
      <c r="P81" s="10"/>
      <c r="Q81" s="10"/>
      <c r="R81" s="10"/>
      <c r="S81" s="10"/>
    </row>
    <row r="82" spans="1:26" ht="14.4">
      <c r="A82" s="5"/>
      <c r="B82" s="10"/>
      <c r="C82" s="10"/>
      <c r="D82" s="10"/>
      <c r="E82" s="9" t="s">
        <v>335</v>
      </c>
      <c r="F82" s="10"/>
      <c r="G82" s="10"/>
      <c r="H82" s="10"/>
      <c r="I82" s="10"/>
      <c r="J82" s="10"/>
      <c r="K82" s="10"/>
      <c r="L82" s="10"/>
      <c r="M82" s="10"/>
      <c r="N82" s="10"/>
      <c r="O82" s="10"/>
      <c r="P82" s="10"/>
      <c r="Q82" s="10"/>
      <c r="R82" s="10"/>
      <c r="S82" s="10"/>
    </row>
    <row r="83" spans="1:26" ht="14.4">
      <c r="A83" s="5"/>
      <c r="B83" s="10"/>
      <c r="C83" s="10"/>
      <c r="D83" s="10"/>
      <c r="E83" s="9"/>
      <c r="F83" s="10"/>
      <c r="G83" s="10"/>
      <c r="H83" s="10"/>
      <c r="I83" s="10"/>
      <c r="J83" s="10"/>
      <c r="K83" s="10"/>
      <c r="L83" s="10"/>
      <c r="M83" s="10"/>
      <c r="N83" s="10"/>
      <c r="O83" s="10"/>
      <c r="P83" s="10"/>
      <c r="Q83" s="10"/>
      <c r="R83" s="10"/>
      <c r="S83" s="10"/>
    </row>
    <row r="84" spans="1:26" ht="14.4">
      <c r="A84" s="6" t="s">
        <v>336</v>
      </c>
      <c r="B84" s="10"/>
      <c r="C84" s="10"/>
      <c r="D84" s="10"/>
      <c r="E84" s="9" t="s">
        <v>337</v>
      </c>
      <c r="F84" s="10"/>
      <c r="G84" s="10"/>
      <c r="H84" s="10"/>
      <c r="I84" s="10"/>
      <c r="J84" s="10"/>
      <c r="K84" s="10"/>
      <c r="L84" s="10"/>
      <c r="M84" s="10"/>
      <c r="N84" s="10"/>
      <c r="O84" s="10"/>
      <c r="P84" s="10"/>
      <c r="Q84" s="10"/>
      <c r="R84" s="10"/>
      <c r="S84" s="10"/>
    </row>
    <row r="85" spans="1:26" ht="14.4">
      <c r="A85" s="12"/>
      <c r="B85" s="10"/>
      <c r="C85" s="10"/>
      <c r="D85" s="10"/>
      <c r="E85" s="13"/>
      <c r="F85" s="10"/>
      <c r="G85" s="10"/>
      <c r="H85" s="10"/>
      <c r="I85" s="10"/>
      <c r="J85" s="10"/>
      <c r="K85" s="10"/>
      <c r="L85" s="10"/>
      <c r="M85" s="10"/>
      <c r="N85" s="10"/>
      <c r="O85" s="10"/>
      <c r="P85" s="10"/>
      <c r="Q85" s="10"/>
      <c r="R85" s="10"/>
      <c r="S85" s="10"/>
    </row>
    <row r="86" spans="1:26" ht="18">
      <c r="A86" s="24" t="s">
        <v>338</v>
      </c>
    </row>
    <row r="87" spans="1:26" ht="18">
      <c r="A87" s="4"/>
    </row>
    <row r="88" spans="1:26" ht="14.4">
      <c r="A88" s="5" t="s">
        <v>250</v>
      </c>
    </row>
    <row r="89" spans="1:26" ht="14.4">
      <c r="A89" s="6" t="s">
        <v>339</v>
      </c>
      <c r="E89" s="7" t="s">
        <v>340</v>
      </c>
      <c r="F89" s="7"/>
      <c r="G89" s="7"/>
      <c r="H89" s="7"/>
      <c r="I89" s="7"/>
      <c r="J89" s="7"/>
      <c r="K89" s="7"/>
      <c r="L89" s="7"/>
      <c r="M89" s="7"/>
      <c r="N89" s="7"/>
      <c r="O89" s="7"/>
      <c r="P89" s="7"/>
      <c r="Q89" s="7"/>
      <c r="R89" s="7"/>
      <c r="S89" s="7"/>
      <c r="T89" s="7"/>
      <c r="U89" s="7"/>
      <c r="V89" s="7"/>
    </row>
    <row r="90" spans="1:26" ht="14.4">
      <c r="A90" s="8" t="s">
        <v>251</v>
      </c>
      <c r="E90" s="7" t="s">
        <v>252</v>
      </c>
      <c r="F90" s="7"/>
      <c r="G90" s="7"/>
      <c r="H90" s="7"/>
      <c r="I90" s="7"/>
      <c r="J90" s="7"/>
      <c r="K90" s="7"/>
      <c r="L90" s="7"/>
      <c r="M90" s="7"/>
      <c r="N90" s="7"/>
      <c r="O90" s="7"/>
      <c r="P90" s="7"/>
      <c r="Q90" s="7"/>
      <c r="R90" s="7"/>
      <c r="S90" s="7"/>
      <c r="T90" s="7"/>
      <c r="U90" s="7"/>
      <c r="V90" s="7"/>
    </row>
    <row r="91" spans="1:26" ht="14.4">
      <c r="A91" s="6" t="s">
        <v>253</v>
      </c>
      <c r="B91" s="9"/>
      <c r="C91" s="9"/>
      <c r="D91" s="9"/>
      <c r="E91" s="9" t="s">
        <v>343</v>
      </c>
      <c r="F91" s="9"/>
      <c r="G91" s="9"/>
      <c r="H91" s="9"/>
      <c r="I91" s="9"/>
      <c r="J91" s="9"/>
      <c r="K91" s="9"/>
      <c r="L91" s="9"/>
      <c r="M91" s="9"/>
      <c r="N91" s="9"/>
      <c r="O91" s="9"/>
      <c r="P91" s="9"/>
      <c r="Q91" s="9"/>
      <c r="R91" s="9"/>
      <c r="S91" s="9"/>
      <c r="T91" s="10"/>
      <c r="U91" s="10"/>
      <c r="V91" s="10"/>
      <c r="W91" s="10"/>
      <c r="X91" s="10"/>
      <c r="Y91" s="10"/>
      <c r="Z91" s="10"/>
    </row>
    <row r="92" spans="1:26" ht="14.4">
      <c r="A92" s="6" t="s">
        <v>254</v>
      </c>
      <c r="B92" s="9"/>
      <c r="C92" s="9"/>
      <c r="D92" s="9"/>
      <c r="E92" s="9" t="s">
        <v>344</v>
      </c>
      <c r="F92" s="9"/>
      <c r="G92" s="9"/>
      <c r="H92" s="9"/>
      <c r="I92" s="9"/>
      <c r="J92" s="9"/>
      <c r="K92" s="9"/>
      <c r="L92" s="9"/>
      <c r="M92" s="9"/>
      <c r="N92" s="9"/>
      <c r="O92" s="9"/>
      <c r="P92" s="9"/>
      <c r="Q92" s="9"/>
      <c r="R92" s="9"/>
      <c r="S92" s="9"/>
      <c r="T92" s="10"/>
      <c r="U92" s="10"/>
      <c r="V92" s="10"/>
      <c r="W92" s="10"/>
      <c r="X92" s="10"/>
      <c r="Y92" s="10"/>
      <c r="Z92" s="10"/>
    </row>
    <row r="93" spans="1:26" ht="14.4">
      <c r="A93" s="6"/>
      <c r="B93" s="9"/>
      <c r="C93" s="9"/>
      <c r="D93" s="9"/>
      <c r="E93" s="9"/>
      <c r="F93" s="9"/>
      <c r="G93" s="9"/>
      <c r="H93" s="9"/>
      <c r="I93" s="9"/>
      <c r="J93" s="9"/>
      <c r="K93" s="9"/>
      <c r="L93" s="9"/>
      <c r="M93" s="9"/>
      <c r="N93" s="9"/>
      <c r="O93" s="9"/>
      <c r="P93" s="9"/>
      <c r="Q93" s="9"/>
      <c r="R93" s="9"/>
      <c r="S93" s="9"/>
      <c r="T93" s="10"/>
      <c r="U93" s="10"/>
      <c r="V93" s="10"/>
      <c r="W93" s="10"/>
      <c r="X93" s="10"/>
      <c r="Y93" s="10"/>
      <c r="Z93" s="10"/>
    </row>
    <row r="94" spans="1:26" ht="14.4">
      <c r="A94" s="5" t="s">
        <v>255</v>
      </c>
      <c r="B94" s="9"/>
      <c r="C94" s="9"/>
      <c r="D94" s="9"/>
      <c r="E94" s="9"/>
      <c r="F94" s="9"/>
      <c r="G94" s="9"/>
      <c r="H94" s="9"/>
      <c r="I94" s="9"/>
      <c r="J94" s="9"/>
      <c r="K94" s="9"/>
      <c r="L94" s="9"/>
      <c r="M94" s="9"/>
      <c r="N94" s="9"/>
      <c r="O94" s="9"/>
      <c r="P94" s="9"/>
      <c r="Q94" s="9"/>
      <c r="R94" s="9"/>
      <c r="S94" s="9"/>
      <c r="T94" s="10"/>
      <c r="U94" s="10"/>
      <c r="V94" s="10"/>
      <c r="W94" s="10"/>
      <c r="X94" s="10"/>
      <c r="Y94" s="10"/>
      <c r="Z94" s="10"/>
    </row>
    <row r="95" spans="1:26" ht="14.4">
      <c r="A95" s="6" t="s">
        <v>256</v>
      </c>
      <c r="B95" s="9"/>
      <c r="C95" s="9"/>
      <c r="D95" s="9"/>
      <c r="E95" s="9" t="s">
        <v>257</v>
      </c>
      <c r="F95" s="9"/>
      <c r="G95" s="9"/>
      <c r="H95" s="9"/>
      <c r="I95" s="9"/>
      <c r="J95" s="9"/>
      <c r="K95" s="9"/>
      <c r="L95" s="9"/>
      <c r="M95" s="9"/>
      <c r="N95" s="9"/>
      <c r="O95" s="9"/>
      <c r="P95" s="9"/>
      <c r="Q95" s="9"/>
      <c r="R95" s="9"/>
      <c r="S95" s="9"/>
      <c r="T95" s="10"/>
      <c r="U95" s="10"/>
      <c r="V95" s="10"/>
      <c r="W95" s="10"/>
      <c r="X95" s="10"/>
      <c r="Y95" s="10"/>
      <c r="Z95" s="10"/>
    </row>
    <row r="96" spans="1:26" ht="14.4">
      <c r="A96" s="6"/>
      <c r="B96" s="9"/>
      <c r="C96" s="9"/>
      <c r="D96" s="9"/>
      <c r="E96" s="9"/>
      <c r="F96" s="9"/>
      <c r="G96" s="9"/>
      <c r="H96" s="9"/>
      <c r="I96" s="9"/>
      <c r="J96" s="9"/>
      <c r="K96" s="9"/>
      <c r="L96" s="9"/>
      <c r="M96" s="9"/>
      <c r="N96" s="9"/>
      <c r="O96" s="9"/>
      <c r="P96" s="9"/>
      <c r="Q96" s="9"/>
      <c r="R96" s="9"/>
      <c r="S96" s="9"/>
      <c r="T96" s="10"/>
      <c r="U96" s="10"/>
      <c r="V96" s="10"/>
      <c r="W96" s="10"/>
      <c r="X96" s="10"/>
      <c r="Y96" s="10"/>
      <c r="Z96" s="10"/>
    </row>
    <row r="97" spans="1:26" ht="14.4">
      <c r="A97" s="5" t="s">
        <v>258</v>
      </c>
      <c r="B97" s="9"/>
      <c r="C97" s="9"/>
      <c r="D97" s="9"/>
      <c r="E97" s="9"/>
      <c r="F97" s="9"/>
      <c r="G97" s="9"/>
      <c r="H97" s="9"/>
      <c r="I97" s="9"/>
      <c r="J97" s="9"/>
      <c r="K97" s="9"/>
      <c r="L97" s="9"/>
      <c r="M97" s="9"/>
      <c r="N97" s="9"/>
      <c r="O97" s="9"/>
      <c r="P97" s="9"/>
      <c r="Q97" s="9"/>
      <c r="R97" s="9"/>
      <c r="S97" s="9"/>
      <c r="T97" s="10"/>
      <c r="U97" s="10"/>
      <c r="V97" s="10"/>
      <c r="W97" s="10"/>
      <c r="X97" s="10"/>
      <c r="Y97" s="10"/>
      <c r="Z97" s="10"/>
    </row>
    <row r="98" spans="1:26" ht="14.4">
      <c r="A98" s="6" t="s">
        <v>179</v>
      </c>
      <c r="B98" s="9"/>
      <c r="C98" s="9"/>
      <c r="D98" s="9"/>
      <c r="E98" s="9" t="s">
        <v>259</v>
      </c>
      <c r="F98" s="9"/>
      <c r="G98" s="9"/>
      <c r="H98" s="9"/>
      <c r="I98" s="9"/>
      <c r="J98" s="9"/>
      <c r="K98" s="9"/>
      <c r="L98" s="9"/>
      <c r="M98" s="9"/>
      <c r="N98" s="9"/>
      <c r="O98" s="9"/>
      <c r="P98" s="9"/>
      <c r="Q98" s="9"/>
      <c r="R98" s="9"/>
      <c r="S98" s="9"/>
      <c r="T98" s="10"/>
      <c r="U98" s="10"/>
      <c r="V98" s="10"/>
      <c r="W98" s="10"/>
      <c r="X98" s="10"/>
      <c r="Y98" s="10"/>
      <c r="Z98" s="10"/>
    </row>
    <row r="99" spans="1:26" ht="14.4">
      <c r="A99" s="6" t="s">
        <v>178</v>
      </c>
      <c r="B99" s="9"/>
      <c r="C99" s="9"/>
      <c r="D99" s="9"/>
      <c r="E99" s="9" t="s">
        <v>260</v>
      </c>
      <c r="F99" s="9"/>
      <c r="G99" s="9"/>
      <c r="H99" s="9"/>
      <c r="I99" s="9"/>
      <c r="J99" s="9"/>
      <c r="K99" s="9"/>
      <c r="L99" s="9"/>
      <c r="M99" s="9"/>
      <c r="N99" s="9"/>
      <c r="O99" s="9"/>
      <c r="P99" s="9"/>
      <c r="Q99" s="9"/>
      <c r="R99" s="9"/>
      <c r="S99" s="9"/>
      <c r="T99" s="10"/>
      <c r="U99" s="10"/>
      <c r="V99" s="10"/>
      <c r="W99" s="10"/>
      <c r="X99" s="10"/>
      <c r="Y99" s="10"/>
      <c r="Z99" s="10"/>
    </row>
    <row r="100" spans="1:26" ht="14.4">
      <c r="A100" s="6"/>
      <c r="B100" s="9"/>
      <c r="C100" s="9"/>
      <c r="D100" s="9"/>
      <c r="E100" s="9"/>
      <c r="F100" s="9"/>
      <c r="G100" s="9"/>
      <c r="H100" s="9"/>
      <c r="I100" s="9"/>
      <c r="J100" s="9"/>
      <c r="K100" s="9"/>
      <c r="L100" s="9"/>
      <c r="M100" s="9"/>
      <c r="N100" s="9"/>
      <c r="O100" s="9"/>
      <c r="P100" s="9"/>
      <c r="Q100" s="9"/>
      <c r="R100" s="9"/>
      <c r="S100" s="9"/>
      <c r="T100" s="10"/>
      <c r="U100" s="10"/>
      <c r="V100" s="10"/>
      <c r="W100" s="10"/>
      <c r="X100" s="10"/>
      <c r="Y100" s="10"/>
      <c r="Z100" s="10"/>
    </row>
    <row r="101" spans="1:26" ht="14.4">
      <c r="A101" s="6" t="s">
        <v>181</v>
      </c>
      <c r="B101" s="9"/>
      <c r="C101" s="9"/>
      <c r="D101" s="9"/>
      <c r="E101" s="9" t="s">
        <v>345</v>
      </c>
      <c r="F101" s="9"/>
      <c r="G101" s="9"/>
      <c r="H101" s="9"/>
      <c r="I101" s="9"/>
      <c r="J101" s="9"/>
      <c r="K101" s="9"/>
      <c r="L101" s="9"/>
      <c r="M101" s="9"/>
      <c r="N101" s="9"/>
      <c r="O101" s="9"/>
      <c r="P101" s="9"/>
      <c r="Q101" s="9"/>
      <c r="R101" s="9"/>
      <c r="S101" s="9"/>
      <c r="T101" s="10"/>
      <c r="U101" s="10"/>
      <c r="V101" s="10"/>
      <c r="W101" s="10"/>
      <c r="X101" s="10"/>
      <c r="Y101" s="10"/>
      <c r="Z101" s="10"/>
    </row>
    <row r="102" spans="1:26" ht="14.4">
      <c r="A102" s="6"/>
      <c r="B102" s="9"/>
      <c r="C102" s="9"/>
      <c r="D102" s="9"/>
      <c r="E102" s="9"/>
      <c r="F102" s="9"/>
      <c r="G102" s="9"/>
      <c r="H102" s="9"/>
      <c r="I102" s="9"/>
      <c r="J102" s="9"/>
      <c r="K102" s="9"/>
      <c r="L102" s="9"/>
      <c r="M102" s="9"/>
      <c r="N102" s="9"/>
      <c r="O102" s="9"/>
      <c r="P102" s="9"/>
      <c r="Q102" s="9"/>
      <c r="R102" s="9"/>
      <c r="S102" s="9"/>
      <c r="T102" s="10"/>
      <c r="U102" s="10"/>
      <c r="V102" s="10"/>
      <c r="W102" s="10"/>
      <c r="X102" s="10"/>
      <c r="Y102" s="10"/>
      <c r="Z102" s="10"/>
    </row>
    <row r="103" spans="1:26" ht="14.4">
      <c r="A103" s="5" t="s">
        <v>261</v>
      </c>
      <c r="B103" s="9"/>
      <c r="C103" s="9"/>
      <c r="D103" s="9"/>
      <c r="E103" s="9"/>
      <c r="F103" s="9"/>
      <c r="G103" s="9"/>
      <c r="H103" s="9"/>
      <c r="I103" s="9"/>
      <c r="J103" s="9"/>
      <c r="K103" s="9"/>
      <c r="L103" s="9"/>
      <c r="M103" s="9"/>
      <c r="N103" s="9"/>
      <c r="O103" s="9"/>
      <c r="P103" s="9"/>
      <c r="Q103" s="9"/>
      <c r="R103" s="9"/>
      <c r="S103" s="9"/>
      <c r="T103" s="10"/>
      <c r="U103" s="10"/>
      <c r="V103" s="10"/>
      <c r="W103" s="10"/>
      <c r="X103" s="10"/>
      <c r="Y103" s="10"/>
      <c r="Z103" s="10"/>
    </row>
    <row r="104" spans="1:26" ht="14.4">
      <c r="A104" s="6" t="s">
        <v>96</v>
      </c>
      <c r="B104" s="9"/>
      <c r="C104" s="9"/>
      <c r="D104" s="9"/>
      <c r="E104" s="9" t="s">
        <v>262</v>
      </c>
      <c r="F104" s="9"/>
      <c r="G104" s="9"/>
      <c r="H104" s="9"/>
      <c r="I104" s="9"/>
      <c r="J104" s="9"/>
      <c r="K104" s="9"/>
      <c r="L104" s="9"/>
      <c r="M104" s="9"/>
      <c r="N104" s="9"/>
      <c r="O104" s="9"/>
      <c r="P104" s="9"/>
      <c r="Q104" s="9"/>
      <c r="R104" s="9"/>
      <c r="S104" s="9"/>
      <c r="T104" s="10"/>
      <c r="U104" s="10"/>
      <c r="V104" s="10"/>
      <c r="W104" s="10"/>
      <c r="X104" s="10"/>
      <c r="Y104" s="10"/>
      <c r="Z104" s="10"/>
    </row>
    <row r="105" spans="1:26" ht="14.4">
      <c r="A105" s="6"/>
      <c r="B105" s="9"/>
      <c r="C105" s="9"/>
      <c r="D105" s="9"/>
      <c r="E105" s="9"/>
      <c r="F105" s="9"/>
      <c r="G105" s="9"/>
      <c r="H105" s="9"/>
      <c r="I105" s="9"/>
      <c r="J105" s="9"/>
      <c r="K105" s="9"/>
      <c r="L105" s="9"/>
      <c r="M105" s="9"/>
      <c r="N105" s="9"/>
      <c r="O105" s="9"/>
      <c r="P105" s="9"/>
      <c r="Q105" s="9"/>
      <c r="R105" s="9"/>
      <c r="S105" s="9"/>
      <c r="T105" s="10"/>
      <c r="U105" s="10"/>
      <c r="V105" s="10"/>
      <c r="W105" s="10"/>
      <c r="X105" s="10"/>
      <c r="Y105" s="10"/>
      <c r="Z105" s="10"/>
    </row>
    <row r="106" spans="1:26" ht="14.4">
      <c r="A106" s="6" t="s">
        <v>263</v>
      </c>
      <c r="B106" s="9"/>
      <c r="C106" s="9"/>
      <c r="D106" s="9"/>
      <c r="E106" s="9" t="s">
        <v>264</v>
      </c>
      <c r="F106" s="9"/>
      <c r="G106" s="9"/>
      <c r="H106" s="9"/>
      <c r="I106" s="9"/>
      <c r="J106" s="9"/>
      <c r="K106" s="9"/>
      <c r="L106" s="9"/>
      <c r="M106" s="9"/>
      <c r="N106" s="9"/>
      <c r="O106" s="9"/>
      <c r="P106" s="9"/>
      <c r="Q106" s="9"/>
      <c r="R106" s="9"/>
      <c r="S106" s="9"/>
      <c r="T106" s="10"/>
      <c r="U106" s="10"/>
      <c r="V106" s="10"/>
      <c r="W106" s="10"/>
      <c r="X106" s="10"/>
      <c r="Y106" s="10"/>
      <c r="Z106" s="10"/>
    </row>
    <row r="107" spans="1:26" ht="18">
      <c r="A107" s="4"/>
    </row>
    <row r="108" spans="1:26" ht="18">
      <c r="A108" s="24" t="s">
        <v>347</v>
      </c>
    </row>
    <row r="109" spans="1:26" ht="18">
      <c r="A109" s="4"/>
    </row>
    <row r="110" spans="1:26" ht="14.4">
      <c r="A110" s="6" t="s">
        <v>265</v>
      </c>
      <c r="B110" s="10"/>
      <c r="C110" s="10"/>
      <c r="D110" s="10"/>
      <c r="E110" s="9" t="s">
        <v>348</v>
      </c>
      <c r="F110" s="9"/>
      <c r="G110" s="9"/>
      <c r="H110" s="9"/>
      <c r="I110" s="9"/>
      <c r="J110" s="9"/>
      <c r="K110" s="9"/>
      <c r="L110" s="9"/>
      <c r="M110" s="9"/>
      <c r="N110" s="9"/>
      <c r="O110" s="9"/>
      <c r="P110" s="9"/>
      <c r="Q110" s="9"/>
      <c r="R110" s="9"/>
      <c r="S110" s="9"/>
      <c r="T110" s="11"/>
    </row>
    <row r="111" spans="1:26" ht="14.4">
      <c r="A111" s="6" t="s">
        <v>266</v>
      </c>
      <c r="B111" s="10"/>
      <c r="C111" s="10"/>
      <c r="D111" s="10"/>
      <c r="E111" s="9" t="s">
        <v>311</v>
      </c>
      <c r="F111" s="9"/>
      <c r="G111" s="9"/>
      <c r="H111" s="9"/>
      <c r="I111" s="9"/>
      <c r="J111" s="9"/>
      <c r="K111" s="9"/>
      <c r="L111" s="9"/>
      <c r="M111" s="9"/>
      <c r="N111" s="9"/>
      <c r="O111" s="9"/>
      <c r="P111" s="9"/>
      <c r="Q111" s="9"/>
      <c r="R111" s="9"/>
      <c r="S111" s="9"/>
      <c r="T111" s="11"/>
    </row>
    <row r="112" spans="1:26" ht="14.4">
      <c r="A112" s="6" t="s">
        <v>350</v>
      </c>
      <c r="B112" s="10"/>
      <c r="C112" s="10"/>
      <c r="D112" s="10"/>
      <c r="E112" s="9" t="s">
        <v>351</v>
      </c>
      <c r="F112" s="9"/>
      <c r="G112" s="9"/>
      <c r="H112" s="9"/>
      <c r="I112" s="9"/>
      <c r="J112" s="9"/>
      <c r="K112" s="9"/>
      <c r="L112" s="9"/>
      <c r="M112" s="9"/>
      <c r="N112" s="9"/>
      <c r="O112" s="9"/>
      <c r="P112" s="9"/>
      <c r="Q112" s="9"/>
      <c r="R112" s="9"/>
      <c r="S112" s="9"/>
      <c r="T112" s="11"/>
    </row>
    <row r="113" spans="1:20" ht="14.4">
      <c r="A113" s="6" t="s">
        <v>267</v>
      </c>
      <c r="B113" s="10"/>
      <c r="C113" s="10"/>
      <c r="D113" s="10"/>
      <c r="E113" s="9" t="s">
        <v>268</v>
      </c>
      <c r="F113" s="9"/>
      <c r="G113" s="9"/>
      <c r="H113" s="9"/>
      <c r="I113" s="9"/>
      <c r="J113" s="9"/>
      <c r="K113" s="9"/>
      <c r="L113" s="9"/>
      <c r="M113" s="9"/>
      <c r="N113" s="9"/>
      <c r="O113" s="9"/>
      <c r="P113" s="9"/>
      <c r="Q113" s="9"/>
      <c r="R113" s="9"/>
      <c r="S113" s="9"/>
      <c r="T113" s="11"/>
    </row>
    <row r="114" spans="1:20" s="1" customFormat="1" ht="14.4">
      <c r="A114" s="18" t="s">
        <v>269</v>
      </c>
      <c r="B114" s="19"/>
      <c r="C114" s="19"/>
      <c r="D114" s="19"/>
      <c r="E114" s="20" t="s">
        <v>349</v>
      </c>
      <c r="F114" s="20"/>
      <c r="G114" s="20"/>
      <c r="H114" s="20"/>
      <c r="I114" s="20"/>
      <c r="J114" s="20"/>
      <c r="K114" s="20"/>
      <c r="L114" s="20"/>
      <c r="M114" s="20"/>
      <c r="N114" s="20"/>
      <c r="O114" s="20"/>
      <c r="P114" s="20"/>
      <c r="Q114" s="20"/>
      <c r="R114" s="20"/>
      <c r="S114" s="20"/>
      <c r="T114" s="21"/>
    </row>
    <row r="115" spans="1:20" s="1" customFormat="1" ht="14.4">
      <c r="A115" s="18"/>
      <c r="B115" s="19"/>
      <c r="C115" s="19"/>
      <c r="D115" s="19"/>
      <c r="E115" s="20"/>
      <c r="F115" s="20"/>
      <c r="G115" s="20"/>
      <c r="H115" s="20"/>
      <c r="I115" s="20"/>
      <c r="J115" s="20"/>
      <c r="K115" s="20"/>
      <c r="L115" s="20"/>
      <c r="M115" s="20"/>
      <c r="N115" s="20"/>
      <c r="O115" s="20"/>
      <c r="P115" s="20"/>
      <c r="Q115" s="20"/>
      <c r="R115" s="20"/>
      <c r="S115" s="20"/>
      <c r="T115" s="21"/>
    </row>
    <row r="116" spans="1:20" ht="14.4">
      <c r="A116" s="5" t="s">
        <v>362</v>
      </c>
      <c r="R116" s="10"/>
      <c r="S116" s="10"/>
    </row>
    <row r="117" spans="1:20" ht="14.4">
      <c r="A117" s="6" t="s">
        <v>236</v>
      </c>
      <c r="E117" s="9" t="s">
        <v>352</v>
      </c>
      <c r="R117" s="10"/>
      <c r="S117" s="10"/>
    </row>
    <row r="118" spans="1:20" ht="14.4">
      <c r="A118" s="8" t="s">
        <v>22</v>
      </c>
      <c r="B118" s="9"/>
      <c r="C118" s="9"/>
      <c r="D118" s="9"/>
      <c r="E118" s="9" t="s">
        <v>353</v>
      </c>
      <c r="F118" s="9"/>
      <c r="G118" s="9"/>
      <c r="H118" s="9"/>
      <c r="I118" s="9"/>
      <c r="J118" s="9"/>
      <c r="K118" s="9"/>
      <c r="L118" s="9"/>
      <c r="M118" s="9"/>
      <c r="N118" s="9"/>
      <c r="O118" s="9"/>
      <c r="P118" s="9"/>
      <c r="Q118" s="9"/>
      <c r="R118" s="10"/>
      <c r="S118" s="10"/>
    </row>
    <row r="119" spans="1:20" ht="14.4">
      <c r="A119" s="6" t="s">
        <v>272</v>
      </c>
      <c r="B119" s="9"/>
      <c r="C119" s="9"/>
      <c r="D119" s="9"/>
      <c r="E119" s="9" t="s">
        <v>273</v>
      </c>
      <c r="F119" s="9"/>
      <c r="G119" s="9"/>
      <c r="H119" s="9"/>
      <c r="I119" s="9"/>
      <c r="J119" s="9"/>
      <c r="K119" s="9"/>
      <c r="L119" s="9"/>
      <c r="M119" s="9"/>
      <c r="N119" s="9"/>
      <c r="O119" s="9"/>
      <c r="P119" s="9"/>
      <c r="Q119" s="9"/>
      <c r="R119" s="10"/>
      <c r="S119" s="10"/>
    </row>
    <row r="120" spans="1:20" ht="14.4">
      <c r="A120" s="6" t="s">
        <v>274</v>
      </c>
      <c r="B120" s="9"/>
      <c r="C120" s="9"/>
      <c r="D120" s="9"/>
      <c r="E120" s="9" t="s">
        <v>354</v>
      </c>
      <c r="F120" s="9"/>
      <c r="G120" s="9"/>
      <c r="H120" s="9"/>
      <c r="I120" s="9"/>
      <c r="J120" s="9"/>
      <c r="K120" s="9"/>
      <c r="L120" s="9"/>
      <c r="M120" s="9"/>
      <c r="N120" s="9"/>
      <c r="O120" s="9"/>
      <c r="P120" s="9"/>
      <c r="Q120" s="9"/>
      <c r="R120" s="10"/>
      <c r="S120" s="10"/>
    </row>
    <row r="121" spans="1:20" ht="14.4">
      <c r="A121" s="6" t="s">
        <v>234</v>
      </c>
      <c r="B121" s="9"/>
      <c r="C121" s="9"/>
      <c r="D121" s="9"/>
      <c r="E121" s="9" t="s">
        <v>355</v>
      </c>
      <c r="F121" s="9"/>
      <c r="G121" s="9"/>
      <c r="H121" s="9"/>
      <c r="I121" s="9"/>
      <c r="J121" s="9"/>
      <c r="K121" s="9"/>
      <c r="L121" s="9"/>
      <c r="M121" s="9"/>
      <c r="N121" s="9"/>
      <c r="O121" s="9"/>
      <c r="P121" s="9"/>
      <c r="Q121" s="9"/>
      <c r="R121" s="10"/>
      <c r="S121" s="10"/>
    </row>
    <row r="122" spans="1:20" ht="14.4">
      <c r="A122" s="6" t="s">
        <v>276</v>
      </c>
      <c r="B122" s="9"/>
      <c r="C122" s="9"/>
      <c r="D122" s="9"/>
      <c r="E122" s="9" t="s">
        <v>356</v>
      </c>
      <c r="F122" s="9"/>
      <c r="G122" s="9"/>
      <c r="H122" s="9"/>
      <c r="I122" s="9"/>
      <c r="J122" s="9"/>
      <c r="K122" s="9"/>
      <c r="L122" s="9"/>
      <c r="M122" s="9"/>
      <c r="N122" s="9"/>
      <c r="O122" s="9"/>
      <c r="P122" s="9"/>
      <c r="Q122" s="9"/>
      <c r="R122" s="10"/>
      <c r="S122" s="10"/>
    </row>
    <row r="123" spans="1:20" ht="13.8">
      <c r="R123" s="10"/>
      <c r="S123" s="10"/>
    </row>
    <row r="124" spans="1:20" ht="14.4">
      <c r="A124" s="5" t="s">
        <v>212</v>
      </c>
      <c r="B124" s="9"/>
      <c r="C124" s="9"/>
      <c r="D124" s="9"/>
      <c r="E124" s="9"/>
      <c r="F124" s="9"/>
      <c r="G124" s="9"/>
      <c r="H124" s="9"/>
      <c r="I124" s="9"/>
      <c r="J124" s="9"/>
      <c r="K124" s="9"/>
      <c r="L124" s="9"/>
      <c r="M124" s="9"/>
      <c r="N124" s="9"/>
      <c r="O124" s="9"/>
      <c r="P124" s="9"/>
      <c r="Q124" s="9"/>
      <c r="R124" s="10"/>
      <c r="S124" s="10"/>
    </row>
    <row r="125" spans="1:20" ht="14.4">
      <c r="A125" s="6" t="s">
        <v>277</v>
      </c>
      <c r="B125" s="9"/>
      <c r="C125" s="9"/>
      <c r="D125" s="9"/>
      <c r="E125" s="9" t="s">
        <v>357</v>
      </c>
      <c r="F125" s="9"/>
      <c r="G125" s="9"/>
      <c r="H125" s="9"/>
      <c r="I125" s="9"/>
      <c r="J125" s="9"/>
      <c r="K125" s="9"/>
      <c r="L125" s="9"/>
      <c r="M125" s="9"/>
      <c r="N125" s="9"/>
      <c r="O125" s="9"/>
      <c r="P125" s="9"/>
      <c r="Q125" s="9"/>
      <c r="R125" s="10"/>
      <c r="S125" s="10"/>
    </row>
    <row r="126" spans="1:20" ht="14.4">
      <c r="A126" s="6" t="s">
        <v>278</v>
      </c>
      <c r="B126" s="9"/>
      <c r="C126" s="9"/>
      <c r="D126" s="9"/>
      <c r="E126" s="9" t="s">
        <v>358</v>
      </c>
      <c r="F126" s="9"/>
      <c r="G126" s="9"/>
      <c r="H126" s="9"/>
      <c r="I126" s="9"/>
      <c r="J126" s="9"/>
      <c r="K126" s="9"/>
      <c r="L126" s="9"/>
      <c r="M126" s="9"/>
      <c r="N126" s="9"/>
      <c r="O126" s="9"/>
      <c r="P126" s="9"/>
      <c r="Q126" s="9"/>
      <c r="R126" s="10"/>
      <c r="S126" s="10"/>
    </row>
    <row r="127" spans="1:20" ht="14.4">
      <c r="A127" s="6" t="s">
        <v>279</v>
      </c>
      <c r="B127" s="9"/>
      <c r="C127" s="9"/>
      <c r="D127" s="9"/>
      <c r="E127" s="9" t="s">
        <v>359</v>
      </c>
      <c r="F127" s="9"/>
      <c r="G127" s="9"/>
      <c r="H127" s="9"/>
      <c r="I127" s="9"/>
      <c r="J127" s="9"/>
      <c r="K127" s="9"/>
      <c r="L127" s="9"/>
      <c r="M127" s="9"/>
      <c r="N127" s="9"/>
      <c r="O127" s="9"/>
      <c r="P127" s="9"/>
      <c r="Q127" s="9"/>
      <c r="R127" s="10"/>
      <c r="S127" s="10"/>
    </row>
    <row r="128" spans="1:20" ht="14.4">
      <c r="A128" s="6" t="s">
        <v>280</v>
      </c>
      <c r="B128" s="9"/>
      <c r="C128" s="9"/>
      <c r="D128" s="9"/>
      <c r="E128" s="9" t="s">
        <v>281</v>
      </c>
      <c r="F128" s="9"/>
      <c r="G128" s="9"/>
      <c r="H128" s="9"/>
      <c r="I128" s="9"/>
      <c r="J128" s="9"/>
      <c r="K128" s="9"/>
      <c r="L128" s="9"/>
      <c r="M128" s="9"/>
      <c r="N128" s="9"/>
      <c r="O128" s="9"/>
      <c r="P128" s="9"/>
      <c r="Q128" s="9"/>
      <c r="R128" s="10"/>
      <c r="S128" s="10"/>
    </row>
    <row r="129" spans="1:20" ht="14.4">
      <c r="A129" s="6" t="s">
        <v>282</v>
      </c>
      <c r="B129" s="9"/>
      <c r="C129" s="9"/>
      <c r="D129" s="9"/>
      <c r="E129" s="9" t="s">
        <v>283</v>
      </c>
      <c r="F129" s="9"/>
      <c r="G129" s="9"/>
      <c r="H129" s="9"/>
      <c r="I129" s="9"/>
      <c r="J129" s="9"/>
      <c r="K129" s="9"/>
      <c r="L129" s="9"/>
      <c r="M129" s="9"/>
      <c r="N129" s="9"/>
      <c r="O129" s="9"/>
      <c r="P129" s="9"/>
      <c r="Q129" s="9"/>
      <c r="R129" s="10"/>
      <c r="S129" s="10"/>
    </row>
    <row r="130" spans="1:20" ht="14.4">
      <c r="A130" s="6" t="s">
        <v>284</v>
      </c>
      <c r="B130" s="9"/>
      <c r="C130" s="9"/>
      <c r="D130" s="9"/>
      <c r="E130" s="9" t="s">
        <v>285</v>
      </c>
      <c r="F130" s="9"/>
      <c r="G130" s="9"/>
      <c r="H130" s="9"/>
      <c r="I130" s="9"/>
      <c r="J130" s="9"/>
      <c r="K130" s="9"/>
      <c r="L130" s="9"/>
      <c r="M130" s="9"/>
      <c r="N130" s="9"/>
      <c r="O130" s="9"/>
      <c r="P130" s="9"/>
      <c r="Q130" s="9"/>
      <c r="R130" s="10"/>
      <c r="S130" s="10"/>
    </row>
    <row r="131" spans="1:20" ht="14.4">
      <c r="A131" s="6" t="s">
        <v>24</v>
      </c>
      <c r="B131" s="9"/>
      <c r="C131" s="9"/>
      <c r="D131" s="9"/>
      <c r="E131" s="9" t="s">
        <v>286</v>
      </c>
      <c r="F131" s="9"/>
      <c r="G131" s="9"/>
      <c r="H131" s="9"/>
      <c r="I131" s="9"/>
      <c r="J131" s="9"/>
      <c r="K131" s="9"/>
      <c r="L131" s="9"/>
      <c r="M131" s="9"/>
      <c r="N131" s="9"/>
      <c r="O131" s="9"/>
      <c r="P131" s="9"/>
      <c r="Q131" s="9"/>
      <c r="R131" s="10"/>
      <c r="S131" s="10"/>
    </row>
    <row r="132" spans="1:20" ht="14.4">
      <c r="A132" s="6" t="s">
        <v>287</v>
      </c>
      <c r="B132" s="9"/>
      <c r="C132" s="9"/>
      <c r="D132" s="9"/>
      <c r="E132" s="9" t="s">
        <v>288</v>
      </c>
      <c r="F132" s="9"/>
      <c r="G132" s="9"/>
      <c r="H132" s="9"/>
      <c r="I132" s="9"/>
      <c r="J132" s="9"/>
      <c r="K132" s="9"/>
      <c r="L132" s="9"/>
      <c r="M132" s="9"/>
      <c r="N132" s="9"/>
      <c r="O132" s="9"/>
      <c r="P132" s="9"/>
      <c r="Q132" s="9"/>
      <c r="R132" s="10"/>
      <c r="S132" s="10"/>
    </row>
    <row r="133" spans="1:20" ht="14.4">
      <c r="A133" s="6" t="s">
        <v>289</v>
      </c>
      <c r="B133" s="9"/>
      <c r="C133" s="9"/>
      <c r="D133" s="9"/>
      <c r="E133" s="9" t="s">
        <v>290</v>
      </c>
      <c r="F133" s="9"/>
      <c r="G133" s="9"/>
      <c r="H133" s="9"/>
      <c r="I133" s="9"/>
      <c r="J133" s="9"/>
      <c r="K133" s="9"/>
      <c r="L133" s="9"/>
      <c r="M133" s="9"/>
      <c r="N133" s="9"/>
      <c r="O133" s="9"/>
      <c r="P133" s="9"/>
      <c r="Q133" s="9"/>
      <c r="R133" s="10"/>
      <c r="S133" s="10"/>
    </row>
    <row r="134" spans="1:20" ht="18">
      <c r="A134" s="22"/>
    </row>
    <row r="135" spans="1:20" ht="14.4">
      <c r="A135" s="5" t="s">
        <v>213</v>
      </c>
      <c r="B135" s="9"/>
      <c r="C135" s="9"/>
      <c r="D135" s="9"/>
      <c r="E135" s="9"/>
      <c r="F135" s="9"/>
      <c r="G135" s="9"/>
      <c r="H135" s="9"/>
      <c r="I135" s="9"/>
      <c r="J135" s="9"/>
      <c r="K135" s="9"/>
      <c r="L135" s="9"/>
      <c r="M135" s="9"/>
      <c r="N135" s="9"/>
      <c r="O135" s="9"/>
      <c r="P135" s="9"/>
      <c r="Q135" s="9"/>
      <c r="R135" s="10"/>
      <c r="S135" s="10"/>
    </row>
    <row r="136" spans="1:20" ht="14.4">
      <c r="A136" s="6" t="s">
        <v>291</v>
      </c>
      <c r="B136" s="9"/>
      <c r="C136" s="9"/>
      <c r="D136" s="9"/>
      <c r="E136" s="9" t="s">
        <v>360</v>
      </c>
      <c r="F136" s="9"/>
      <c r="G136" s="9"/>
      <c r="H136" s="9"/>
      <c r="I136" s="9"/>
      <c r="J136" s="9"/>
      <c r="K136" s="9"/>
      <c r="L136" s="9"/>
      <c r="M136" s="9"/>
      <c r="N136" s="9"/>
      <c r="O136" s="9"/>
      <c r="P136" s="9"/>
      <c r="Q136" s="9"/>
      <c r="R136" s="10"/>
      <c r="S136" s="10"/>
    </row>
    <row r="137" spans="1:20" ht="14.4">
      <c r="A137" s="6" t="s">
        <v>292</v>
      </c>
      <c r="E137" s="9" t="s">
        <v>361</v>
      </c>
      <c r="S137" s="10"/>
      <c r="T137" s="3" t="s">
        <v>26</v>
      </c>
    </row>
    <row r="138" spans="1:20" ht="14.4">
      <c r="A138" s="6" t="s">
        <v>293</v>
      </c>
      <c r="E138" s="9" t="s">
        <v>360</v>
      </c>
      <c r="S138" s="10"/>
    </row>
    <row r="139" spans="1:20" ht="14.4">
      <c r="A139" s="6"/>
      <c r="E139" s="9"/>
      <c r="S139" s="10"/>
    </row>
    <row r="140" spans="1:20" ht="14.4">
      <c r="A140" s="6" t="s">
        <v>150</v>
      </c>
      <c r="E140" s="9" t="s">
        <v>363</v>
      </c>
      <c r="S140" s="10"/>
    </row>
    <row r="141" spans="1:20" ht="14.4">
      <c r="A141" s="9"/>
      <c r="B141" s="9"/>
      <c r="C141" s="9"/>
      <c r="D141" s="9"/>
      <c r="E141" s="9"/>
      <c r="F141" s="9"/>
      <c r="G141" s="9"/>
      <c r="H141" s="9"/>
      <c r="I141" s="9"/>
      <c r="J141" s="9"/>
      <c r="K141" s="9"/>
      <c r="L141" s="9"/>
      <c r="M141" s="9"/>
      <c r="N141" s="9"/>
      <c r="O141" s="9"/>
      <c r="P141" s="9"/>
      <c r="Q141" s="9"/>
      <c r="R141" s="10"/>
      <c r="S141" s="10"/>
    </row>
    <row r="142" spans="1:20" ht="14.4">
      <c r="A142" s="6" t="s">
        <v>101</v>
      </c>
      <c r="B142" s="9"/>
      <c r="C142" s="9"/>
      <c r="D142" s="9"/>
      <c r="E142" s="9" t="s">
        <v>294</v>
      </c>
      <c r="F142" s="9"/>
      <c r="G142" s="9"/>
      <c r="H142" s="9"/>
      <c r="I142" s="9"/>
      <c r="J142" s="9"/>
      <c r="K142" s="9"/>
      <c r="L142" s="9"/>
      <c r="M142" s="9"/>
      <c r="N142" s="9"/>
      <c r="O142" s="9"/>
      <c r="P142" s="9"/>
      <c r="Q142" s="9"/>
      <c r="R142" s="10"/>
      <c r="S142" s="10"/>
    </row>
    <row r="143" spans="1:20" ht="14.4">
      <c r="A143" s="6"/>
      <c r="B143" s="9"/>
      <c r="C143" s="9"/>
      <c r="D143" s="9"/>
      <c r="E143" s="9"/>
      <c r="F143" s="9"/>
      <c r="G143" s="9"/>
      <c r="H143" s="9"/>
      <c r="I143" s="9"/>
      <c r="J143" s="9"/>
      <c r="K143" s="9"/>
      <c r="L143" s="9"/>
      <c r="M143" s="9"/>
      <c r="N143" s="9"/>
      <c r="O143" s="9"/>
      <c r="P143" s="9"/>
      <c r="Q143" s="9"/>
      <c r="R143" s="10"/>
      <c r="S143" s="10"/>
    </row>
    <row r="144" spans="1:20" ht="14.4">
      <c r="A144" s="6" t="s">
        <v>295</v>
      </c>
      <c r="B144" s="9"/>
      <c r="C144" s="9"/>
      <c r="D144" s="9"/>
      <c r="E144" s="9" t="s">
        <v>296</v>
      </c>
      <c r="F144" s="9"/>
      <c r="G144" s="9"/>
      <c r="H144" s="9"/>
      <c r="I144" s="9"/>
      <c r="J144" s="9"/>
      <c r="K144" s="9"/>
      <c r="L144" s="9"/>
      <c r="M144" s="9"/>
      <c r="N144" s="9"/>
      <c r="O144" s="9"/>
      <c r="P144" s="9"/>
      <c r="Q144" s="9"/>
      <c r="R144" s="10"/>
      <c r="S144" s="10"/>
    </row>
    <row r="145" spans="1:19" ht="14.4">
      <c r="A145" s="6"/>
      <c r="B145" s="9"/>
      <c r="C145" s="9"/>
      <c r="D145" s="9"/>
      <c r="E145" s="9" t="s">
        <v>364</v>
      </c>
      <c r="F145" s="9"/>
      <c r="G145" s="9"/>
      <c r="H145" s="9"/>
      <c r="I145" s="9"/>
      <c r="J145" s="9"/>
      <c r="K145" s="9"/>
      <c r="L145" s="9"/>
      <c r="M145" s="9"/>
      <c r="N145" s="9"/>
      <c r="O145" s="9"/>
      <c r="P145" s="9"/>
      <c r="Q145" s="9"/>
      <c r="R145" s="10"/>
      <c r="S145" s="10"/>
    </row>
    <row r="146" spans="1:19" ht="14.4">
      <c r="A146" s="6" t="s">
        <v>99</v>
      </c>
      <c r="B146" s="9"/>
      <c r="C146" s="9"/>
      <c r="D146" s="9"/>
      <c r="E146" s="9" t="s">
        <v>324</v>
      </c>
      <c r="F146" s="9"/>
      <c r="G146" s="9"/>
      <c r="H146" s="9"/>
      <c r="I146" s="9"/>
      <c r="J146" s="9"/>
      <c r="K146" s="9"/>
      <c r="L146" s="9"/>
      <c r="M146" s="9"/>
      <c r="N146" s="9"/>
      <c r="O146" s="9"/>
      <c r="P146" s="9"/>
      <c r="Q146" s="9"/>
      <c r="R146" s="10"/>
      <c r="S146" s="10"/>
    </row>
    <row r="147" spans="1:19" ht="18">
      <c r="A147" s="22"/>
    </row>
    <row r="148" spans="1:19">
      <c r="A148" s="23" t="s">
        <v>190</v>
      </c>
      <c r="E148" s="3" t="s">
        <v>365</v>
      </c>
    </row>
    <row r="149" spans="1:19" ht="18">
      <c r="A149" s="22"/>
    </row>
    <row r="150" spans="1:19">
      <c r="A150" s="23" t="s">
        <v>189</v>
      </c>
      <c r="E150" s="3" t="s">
        <v>366</v>
      </c>
    </row>
    <row r="151" spans="1:19" ht="18">
      <c r="A151" s="22"/>
    </row>
    <row r="152" spans="1:19">
      <c r="A152" s="23" t="s">
        <v>210</v>
      </c>
      <c r="E152" s="3" t="s">
        <v>367</v>
      </c>
    </row>
    <row r="153" spans="1:19" ht="18">
      <c r="A153" s="22"/>
    </row>
    <row r="154" spans="1:19" ht="14.4">
      <c r="A154" s="5" t="s">
        <v>214</v>
      </c>
      <c r="E154" s="3" t="s">
        <v>368</v>
      </c>
    </row>
    <row r="155" spans="1:19" ht="14.4">
      <c r="A155" s="6"/>
      <c r="E155" s="3" t="s">
        <v>371</v>
      </c>
    </row>
    <row r="156" spans="1:19" ht="14.4">
      <c r="A156" s="6"/>
      <c r="E156" s="3" t="s">
        <v>369</v>
      </c>
    </row>
    <row r="157" spans="1:19" ht="14.4">
      <c r="A157" s="6"/>
    </row>
    <row r="158" spans="1:19" ht="14.4">
      <c r="A158" s="6"/>
      <c r="E158" s="14" t="s">
        <v>370</v>
      </c>
    </row>
    <row r="159" spans="1:19" ht="14.4">
      <c r="A159" s="6"/>
      <c r="E159" s="3" t="s">
        <v>301</v>
      </c>
    </row>
    <row r="160" spans="1:19" ht="14.4">
      <c r="A160" s="6"/>
      <c r="E160" s="3" t="s">
        <v>302</v>
      </c>
    </row>
    <row r="161" spans="1:26" ht="14.4">
      <c r="A161" s="6"/>
      <c r="E161" s="3" t="s">
        <v>303</v>
      </c>
    </row>
    <row r="162" spans="1:26" ht="14.4">
      <c r="A162" s="6"/>
      <c r="B162" s="10"/>
      <c r="C162" s="10"/>
      <c r="D162" s="10"/>
      <c r="E162" s="9"/>
      <c r="F162" s="10"/>
      <c r="G162" s="10"/>
      <c r="H162" s="10"/>
      <c r="I162" s="10"/>
      <c r="J162" s="10"/>
      <c r="K162" s="10"/>
      <c r="L162" s="10"/>
      <c r="M162" s="10"/>
      <c r="N162" s="10"/>
      <c r="O162" s="10"/>
      <c r="P162" s="10"/>
      <c r="Q162" s="10"/>
      <c r="R162" s="10"/>
      <c r="S162" s="10"/>
    </row>
    <row r="163" spans="1:26" ht="13.8">
      <c r="F163" s="10"/>
      <c r="G163" s="10"/>
      <c r="H163" s="10"/>
      <c r="I163" s="10"/>
      <c r="J163" s="10"/>
      <c r="K163" s="10"/>
      <c r="L163" s="10"/>
      <c r="M163" s="10"/>
      <c r="N163" s="10"/>
      <c r="O163" s="10"/>
      <c r="P163" s="10"/>
      <c r="Q163" s="10"/>
      <c r="R163" s="10"/>
      <c r="S163" s="10"/>
    </row>
    <row r="164" spans="1:26" ht="14.4">
      <c r="A164" s="6"/>
      <c r="B164" s="10"/>
      <c r="C164" s="10"/>
      <c r="D164" s="10"/>
    </row>
    <row r="166" spans="1:26" ht="14.4">
      <c r="A166" s="6"/>
    </row>
    <row r="172" spans="1:26" ht="14.4">
      <c r="A172" s="15"/>
    </row>
    <row r="173" spans="1:26" ht="14.4">
      <c r="A173" s="12"/>
      <c r="E173" s="16"/>
      <c r="F173" s="7"/>
      <c r="G173" s="7"/>
      <c r="H173" s="7"/>
      <c r="I173" s="7"/>
      <c r="J173" s="7"/>
      <c r="K173" s="7"/>
      <c r="L173" s="7"/>
      <c r="M173" s="7"/>
      <c r="N173" s="7"/>
      <c r="O173" s="7"/>
      <c r="P173" s="7"/>
      <c r="Q173" s="7"/>
      <c r="R173" s="7"/>
      <c r="S173" s="7"/>
      <c r="T173" s="7"/>
      <c r="U173" s="7"/>
      <c r="V173" s="7"/>
    </row>
    <row r="174" spans="1:26" ht="14.4">
      <c r="A174" s="17"/>
      <c r="E174" s="16"/>
      <c r="F174" s="7"/>
      <c r="G174" s="7"/>
      <c r="H174" s="7"/>
      <c r="I174" s="7"/>
      <c r="J174" s="7"/>
      <c r="K174" s="7"/>
      <c r="L174" s="7"/>
      <c r="M174" s="7"/>
      <c r="N174" s="7"/>
      <c r="O174" s="7"/>
      <c r="P174" s="7"/>
      <c r="Q174" s="7"/>
      <c r="R174" s="7"/>
      <c r="S174" s="7"/>
      <c r="T174" s="7"/>
      <c r="U174" s="7"/>
      <c r="V174" s="7"/>
    </row>
    <row r="175" spans="1:26" ht="14.4">
      <c r="A175" s="12"/>
      <c r="B175" s="9"/>
      <c r="C175" s="9"/>
      <c r="D175" s="9"/>
      <c r="E175" s="13"/>
      <c r="F175" s="9"/>
      <c r="G175" s="9"/>
      <c r="H175" s="9"/>
      <c r="I175" s="9"/>
      <c r="J175" s="9"/>
      <c r="K175" s="9"/>
      <c r="L175" s="9"/>
      <c r="M175" s="9"/>
      <c r="N175" s="9"/>
      <c r="O175" s="9"/>
      <c r="P175" s="9"/>
      <c r="Q175" s="9"/>
      <c r="R175" s="9"/>
      <c r="S175" s="9"/>
      <c r="T175" s="10"/>
      <c r="U175" s="10"/>
      <c r="V175" s="10"/>
      <c r="W175" s="10"/>
      <c r="X175" s="10"/>
      <c r="Y175" s="10"/>
      <c r="Z175" s="10"/>
    </row>
    <row r="176" spans="1:26" ht="14.4">
      <c r="A176" s="12"/>
      <c r="B176" s="9"/>
      <c r="C176" s="9"/>
      <c r="D176" s="9"/>
      <c r="E176" s="13"/>
      <c r="F176" s="9"/>
      <c r="G176" s="9"/>
      <c r="H176" s="9"/>
      <c r="I176" s="9"/>
      <c r="J176" s="9"/>
      <c r="K176" s="9"/>
      <c r="L176" s="9"/>
      <c r="M176" s="9"/>
      <c r="N176" s="9"/>
      <c r="O176" s="9"/>
      <c r="P176" s="9"/>
      <c r="Q176" s="9"/>
      <c r="R176" s="9"/>
      <c r="S176" s="9"/>
      <c r="T176" s="10"/>
      <c r="U176" s="10"/>
      <c r="V176" s="10"/>
      <c r="W176" s="10"/>
      <c r="X176" s="10"/>
      <c r="Y176" s="10"/>
      <c r="Z176" s="10"/>
    </row>
    <row r="177" spans="1:26" ht="14.4">
      <c r="A177" s="6"/>
      <c r="B177" s="9"/>
      <c r="C177" s="9"/>
      <c r="D177" s="9"/>
      <c r="E177" s="9"/>
      <c r="F177" s="9"/>
      <c r="G177" s="9"/>
      <c r="H177" s="9"/>
      <c r="I177" s="9"/>
      <c r="J177" s="9"/>
      <c r="K177" s="9"/>
      <c r="L177" s="9"/>
      <c r="M177" s="9"/>
      <c r="N177" s="9"/>
      <c r="O177" s="9"/>
      <c r="P177" s="9"/>
      <c r="Q177" s="9"/>
      <c r="R177" s="9"/>
      <c r="S177" s="9"/>
      <c r="T177" s="10"/>
      <c r="U177" s="10"/>
      <c r="V177" s="10"/>
      <c r="W177" s="10"/>
      <c r="X177" s="10"/>
      <c r="Y177" s="10"/>
      <c r="Z177" s="10"/>
    </row>
    <row r="178" spans="1:26" ht="14.4">
      <c r="A178" s="15"/>
      <c r="B178" s="9"/>
      <c r="C178" s="9"/>
      <c r="D178" s="9"/>
      <c r="E178" s="9"/>
      <c r="F178" s="9"/>
      <c r="G178" s="9"/>
      <c r="H178" s="9"/>
      <c r="I178" s="9"/>
      <c r="J178" s="9"/>
      <c r="K178" s="9"/>
      <c r="L178" s="9"/>
      <c r="M178" s="9"/>
      <c r="N178" s="9"/>
      <c r="O178" s="9"/>
      <c r="P178" s="9"/>
      <c r="Q178" s="9"/>
      <c r="R178" s="9"/>
      <c r="S178" s="9"/>
      <c r="T178" s="10"/>
      <c r="U178" s="10"/>
      <c r="V178" s="10"/>
      <c r="W178" s="10"/>
      <c r="X178" s="10"/>
      <c r="Y178" s="10"/>
      <c r="Z178" s="10"/>
    </row>
    <row r="179" spans="1:26" ht="14.4">
      <c r="A179" s="12"/>
      <c r="B179" s="9"/>
      <c r="C179" s="9"/>
      <c r="D179" s="9"/>
      <c r="E179" s="13"/>
      <c r="F179" s="9"/>
      <c r="G179" s="9"/>
      <c r="H179" s="9"/>
      <c r="I179" s="9"/>
      <c r="J179" s="9"/>
      <c r="K179" s="9"/>
      <c r="L179" s="9"/>
      <c r="M179" s="9"/>
      <c r="N179" s="9"/>
      <c r="O179" s="9"/>
      <c r="P179" s="9"/>
      <c r="Q179" s="9"/>
      <c r="R179" s="9"/>
      <c r="S179" s="9"/>
      <c r="T179" s="10"/>
      <c r="U179" s="10"/>
      <c r="V179" s="10"/>
      <c r="W179" s="10"/>
      <c r="X179" s="10"/>
      <c r="Y179" s="10"/>
      <c r="Z179" s="10"/>
    </row>
    <row r="180" spans="1:26" ht="14.4">
      <c r="A180" s="6"/>
      <c r="B180" s="9"/>
      <c r="C180" s="9"/>
      <c r="D180" s="9"/>
      <c r="E180" s="9"/>
      <c r="F180" s="9"/>
      <c r="G180" s="9"/>
      <c r="H180" s="9"/>
      <c r="I180" s="9"/>
      <c r="J180" s="9"/>
      <c r="K180" s="9"/>
      <c r="L180" s="9"/>
      <c r="M180" s="9"/>
      <c r="N180" s="9"/>
      <c r="O180" s="9"/>
      <c r="P180" s="9"/>
      <c r="Q180" s="9"/>
      <c r="R180" s="9"/>
      <c r="S180" s="9"/>
      <c r="T180" s="10"/>
      <c r="U180" s="10"/>
      <c r="V180" s="10"/>
      <c r="W180" s="10"/>
      <c r="X180" s="10"/>
      <c r="Y180" s="10"/>
      <c r="Z180" s="10"/>
    </row>
    <row r="181" spans="1:26" ht="14.4">
      <c r="A181" s="15"/>
      <c r="B181" s="9"/>
      <c r="C181" s="9"/>
      <c r="D181" s="9"/>
      <c r="E181" s="9"/>
      <c r="F181" s="9"/>
      <c r="G181" s="9"/>
      <c r="H181" s="9"/>
      <c r="I181" s="9"/>
      <c r="J181" s="9"/>
      <c r="K181" s="9"/>
      <c r="L181" s="9"/>
      <c r="M181" s="9"/>
      <c r="N181" s="9"/>
      <c r="O181" s="9"/>
      <c r="P181" s="9"/>
      <c r="Q181" s="9"/>
      <c r="R181" s="9"/>
      <c r="S181" s="9"/>
      <c r="T181" s="10"/>
      <c r="U181" s="10"/>
      <c r="V181" s="10"/>
      <c r="W181" s="10"/>
      <c r="X181" s="10"/>
      <c r="Y181" s="10"/>
      <c r="Z181" s="10"/>
    </row>
    <row r="182" spans="1:26" ht="14.4">
      <c r="A182" s="12"/>
      <c r="B182" s="9"/>
      <c r="C182" s="9"/>
      <c r="D182" s="9"/>
      <c r="E182" s="13"/>
      <c r="F182" s="9"/>
      <c r="G182" s="9"/>
      <c r="H182" s="9"/>
      <c r="I182" s="9"/>
      <c r="J182" s="9"/>
      <c r="K182" s="9"/>
      <c r="L182" s="9"/>
      <c r="M182" s="9"/>
      <c r="N182" s="9"/>
      <c r="O182" s="9"/>
      <c r="P182" s="9"/>
      <c r="Q182" s="9"/>
      <c r="R182" s="9"/>
      <c r="S182" s="9"/>
      <c r="T182" s="10"/>
      <c r="U182" s="10"/>
      <c r="V182" s="10"/>
      <c r="W182" s="10"/>
      <c r="X182" s="10"/>
      <c r="Y182" s="10"/>
      <c r="Z182" s="10"/>
    </row>
    <row r="183" spans="1:26" ht="14.4">
      <c r="A183" s="12"/>
      <c r="B183" s="9"/>
      <c r="C183" s="9"/>
      <c r="D183" s="9"/>
      <c r="E183" s="13"/>
      <c r="F183" s="9"/>
      <c r="G183" s="9"/>
      <c r="H183" s="9"/>
      <c r="I183" s="9"/>
      <c r="J183" s="9"/>
      <c r="K183" s="9"/>
      <c r="L183" s="9"/>
      <c r="M183" s="9"/>
      <c r="N183" s="9"/>
      <c r="O183" s="9"/>
      <c r="P183" s="9"/>
      <c r="Q183" s="9"/>
      <c r="R183" s="9"/>
      <c r="S183" s="9"/>
      <c r="T183" s="10"/>
      <c r="U183" s="10"/>
      <c r="V183" s="10"/>
      <c r="W183" s="10"/>
      <c r="X183" s="10"/>
      <c r="Y183" s="10"/>
      <c r="Z183" s="10"/>
    </row>
    <row r="184" spans="1:26" ht="14.4">
      <c r="A184" s="6"/>
      <c r="B184" s="9"/>
      <c r="C184" s="9"/>
      <c r="D184" s="9"/>
      <c r="E184" s="9"/>
      <c r="F184" s="9"/>
      <c r="G184" s="9"/>
      <c r="H184" s="9"/>
      <c r="I184" s="9"/>
      <c r="J184" s="9"/>
      <c r="K184" s="9"/>
      <c r="L184" s="9"/>
      <c r="M184" s="9"/>
      <c r="N184" s="9"/>
      <c r="O184" s="9"/>
      <c r="P184" s="9"/>
      <c r="Q184" s="9"/>
      <c r="R184" s="9"/>
      <c r="S184" s="9"/>
      <c r="T184" s="10"/>
      <c r="U184" s="10"/>
      <c r="V184" s="10"/>
      <c r="W184" s="10"/>
      <c r="X184" s="10"/>
      <c r="Y184" s="10"/>
      <c r="Z184" s="10"/>
    </row>
    <row r="185" spans="1:26" ht="14.4">
      <c r="A185" s="12"/>
      <c r="B185" s="9"/>
      <c r="C185" s="9"/>
      <c r="D185" s="9"/>
      <c r="E185" s="13"/>
      <c r="F185" s="9"/>
      <c r="G185" s="9"/>
      <c r="H185" s="9"/>
      <c r="I185" s="9"/>
      <c r="J185" s="9"/>
      <c r="K185" s="9"/>
      <c r="L185" s="9"/>
      <c r="M185" s="9"/>
      <c r="N185" s="9"/>
      <c r="O185" s="9"/>
      <c r="P185" s="9"/>
      <c r="Q185" s="9"/>
      <c r="R185" s="9"/>
      <c r="S185" s="9"/>
      <c r="T185" s="10"/>
      <c r="U185" s="10"/>
      <c r="V185" s="10"/>
      <c r="W185" s="10"/>
      <c r="X185" s="10"/>
      <c r="Y185" s="10"/>
      <c r="Z185" s="10"/>
    </row>
    <row r="186" spans="1:26" ht="14.4">
      <c r="A186" s="6"/>
      <c r="B186" s="9"/>
      <c r="C186" s="9"/>
      <c r="D186" s="9"/>
      <c r="E186" s="9"/>
      <c r="F186" s="9"/>
      <c r="G186" s="9"/>
      <c r="H186" s="9"/>
      <c r="I186" s="9"/>
      <c r="J186" s="9"/>
      <c r="K186" s="9"/>
      <c r="L186" s="9"/>
      <c r="M186" s="9"/>
      <c r="N186" s="9"/>
      <c r="O186" s="9"/>
      <c r="P186" s="9"/>
      <c r="Q186" s="9"/>
      <c r="R186" s="9"/>
      <c r="S186" s="9"/>
      <c r="T186" s="10"/>
      <c r="U186" s="10"/>
      <c r="V186" s="10"/>
      <c r="W186" s="10"/>
      <c r="X186" s="10"/>
      <c r="Y186" s="10"/>
      <c r="Z186" s="10"/>
    </row>
    <row r="187" spans="1:26" ht="14.4">
      <c r="A187" s="15"/>
      <c r="B187" s="9"/>
      <c r="C187" s="9"/>
      <c r="D187" s="9"/>
      <c r="E187" s="9"/>
      <c r="F187" s="9"/>
      <c r="G187" s="9"/>
      <c r="H187" s="9"/>
      <c r="I187" s="9"/>
      <c r="J187" s="9"/>
      <c r="K187" s="9"/>
      <c r="L187" s="9"/>
      <c r="M187" s="9"/>
      <c r="N187" s="9"/>
      <c r="O187" s="9"/>
      <c r="P187" s="9"/>
      <c r="Q187" s="9"/>
      <c r="R187" s="9"/>
      <c r="S187" s="9"/>
      <c r="T187" s="10"/>
      <c r="U187" s="10"/>
      <c r="V187" s="10"/>
      <c r="W187" s="10"/>
      <c r="X187" s="10"/>
      <c r="Y187" s="10"/>
      <c r="Z187" s="10"/>
    </row>
    <row r="188" spans="1:26" ht="14.4">
      <c r="A188" s="12"/>
      <c r="B188" s="9"/>
      <c r="C188" s="9"/>
      <c r="D188" s="9"/>
      <c r="E188" s="13"/>
      <c r="F188" s="9"/>
      <c r="G188" s="9"/>
      <c r="H188" s="9"/>
      <c r="I188" s="9"/>
      <c r="J188" s="9"/>
      <c r="K188" s="9"/>
      <c r="L188" s="9"/>
      <c r="M188" s="9"/>
      <c r="N188" s="9"/>
      <c r="O188" s="9"/>
      <c r="P188" s="9"/>
      <c r="Q188" s="9"/>
      <c r="R188" s="9"/>
      <c r="S188" s="9"/>
      <c r="T188" s="10"/>
      <c r="U188" s="10"/>
      <c r="V188" s="10"/>
      <c r="W188" s="10"/>
      <c r="X188" s="10"/>
      <c r="Y188" s="10"/>
      <c r="Z188" s="10"/>
    </row>
    <row r="189" spans="1:26" ht="14.4">
      <c r="A189" s="6"/>
      <c r="B189" s="9"/>
      <c r="C189" s="9"/>
      <c r="D189" s="9"/>
      <c r="E189" s="13"/>
      <c r="F189" s="9"/>
      <c r="G189" s="9"/>
      <c r="H189" s="9"/>
      <c r="I189" s="9"/>
      <c r="J189" s="9"/>
      <c r="K189" s="9"/>
      <c r="L189" s="9"/>
      <c r="M189" s="9"/>
      <c r="N189" s="9"/>
      <c r="O189" s="9"/>
      <c r="P189" s="9"/>
      <c r="Q189" s="9"/>
      <c r="R189" s="9"/>
      <c r="S189" s="9"/>
      <c r="T189" s="10"/>
      <c r="U189" s="10"/>
      <c r="V189" s="10"/>
      <c r="W189" s="10"/>
      <c r="X189" s="10"/>
      <c r="Y189" s="10"/>
      <c r="Z189" s="10"/>
    </row>
    <row r="190" spans="1:26" ht="14.4">
      <c r="A190" s="6"/>
      <c r="B190" s="9"/>
      <c r="C190" s="9"/>
      <c r="D190" s="9"/>
      <c r="E190" s="9"/>
      <c r="F190" s="9"/>
      <c r="G190" s="9"/>
      <c r="H190" s="9"/>
      <c r="I190" s="9"/>
      <c r="J190" s="9"/>
      <c r="K190" s="9"/>
      <c r="L190" s="9"/>
      <c r="M190" s="9"/>
      <c r="N190" s="9"/>
      <c r="O190" s="9"/>
      <c r="P190" s="9"/>
      <c r="Q190" s="9"/>
      <c r="R190" s="9"/>
      <c r="S190" s="9"/>
      <c r="T190" s="10"/>
      <c r="U190" s="10"/>
      <c r="V190" s="10"/>
      <c r="W190" s="10"/>
      <c r="X190" s="10"/>
      <c r="Y190" s="10"/>
      <c r="Z190" s="10"/>
    </row>
    <row r="191" spans="1:26" ht="14.4">
      <c r="A191" s="12"/>
      <c r="B191" s="9"/>
      <c r="C191" s="9"/>
      <c r="D191" s="9"/>
      <c r="E191" s="13"/>
      <c r="F191" s="9"/>
      <c r="G191" s="9"/>
      <c r="H191" s="9"/>
      <c r="I191" s="9"/>
      <c r="J191" s="9"/>
      <c r="K191" s="9"/>
      <c r="L191" s="9"/>
      <c r="M191" s="9"/>
      <c r="N191" s="9"/>
      <c r="O191" s="9"/>
      <c r="P191" s="9"/>
      <c r="Q191" s="9"/>
      <c r="R191" s="9"/>
      <c r="S191" s="9"/>
      <c r="T191" s="10"/>
      <c r="U191" s="10"/>
      <c r="V191" s="10"/>
      <c r="W191" s="10"/>
      <c r="X191" s="10"/>
      <c r="Y191" s="10"/>
      <c r="Z191" s="10"/>
    </row>
  </sheetData>
  <sheetProtection sheet="1"/>
  <mergeCells count="1">
    <mergeCell ref="A76:D77"/>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D018-FFE8-4C06-AB00-25EF0A18A635}">
  <dimension ref="A1:CA72"/>
  <sheetViews>
    <sheetView topLeftCell="X1" workbookViewId="0">
      <selection activeCell="AP28" sqref="AP28"/>
    </sheetView>
  </sheetViews>
  <sheetFormatPr defaultColWidth="9.44140625" defaultRowHeight="10.95" customHeight="1"/>
  <cols>
    <col min="1" max="2" width="5.109375" style="807" hidden="1" customWidth="1"/>
    <col min="3" max="3" width="26.6640625" style="889" hidden="1" customWidth="1"/>
    <col min="4" max="4" width="1.109375" style="889" hidden="1" customWidth="1"/>
    <col min="5" max="6" width="7.33203125" style="816" hidden="1" customWidth="1"/>
    <col min="7" max="7" width="1.44140625" style="816" hidden="1" customWidth="1"/>
    <col min="8" max="9" width="7.33203125" style="816" hidden="1" customWidth="1"/>
    <col min="10" max="10" width="1.44140625" style="816" hidden="1" customWidth="1"/>
    <col min="11" max="11" width="7.33203125" style="816" hidden="1" customWidth="1"/>
    <col min="12" max="12" width="7.33203125" style="798" hidden="1" customWidth="1"/>
    <col min="13" max="13" width="1.44140625" style="798" hidden="1" customWidth="1"/>
    <col min="14" max="15" width="7.33203125" style="798" hidden="1" customWidth="1"/>
    <col min="16" max="16" width="1.44140625" style="798" hidden="1" customWidth="1"/>
    <col min="17" max="19" width="7.33203125" style="798" hidden="1" customWidth="1"/>
    <col min="20" max="20" width="1.44140625" style="798" hidden="1" customWidth="1"/>
    <col min="21" max="22" width="7.33203125" style="798" hidden="1" customWidth="1"/>
    <col min="23" max="23" width="0" style="798" hidden="1" customWidth="1"/>
    <col min="24" max="16384" width="9.44140625" style="798"/>
  </cols>
  <sheetData>
    <row r="1" spans="1:79" s="789" customFormat="1" ht="15.75" customHeight="1">
      <c r="A1" s="782" t="s">
        <v>919</v>
      </c>
      <c r="B1" s="783"/>
      <c r="C1" s="784"/>
      <c r="D1" s="784"/>
      <c r="E1" s="785"/>
      <c r="F1" s="785"/>
      <c r="G1" s="785"/>
      <c r="H1" s="785"/>
      <c r="I1" s="785"/>
      <c r="J1" s="785"/>
      <c r="K1" s="786"/>
      <c r="L1" s="787"/>
      <c r="M1" s="787"/>
      <c r="N1" s="788" t="s">
        <v>1023</v>
      </c>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7"/>
      <c r="AY1" s="787"/>
      <c r="AZ1" s="787"/>
      <c r="BA1" s="787"/>
      <c r="BB1" s="787"/>
      <c r="BC1" s="787"/>
      <c r="BD1" s="787"/>
      <c r="BE1" s="787"/>
      <c r="BF1" s="787"/>
      <c r="BG1" s="787"/>
      <c r="BH1" s="787"/>
      <c r="BI1" s="787"/>
      <c r="BJ1" s="787"/>
      <c r="BK1" s="787"/>
      <c r="BL1" s="787"/>
      <c r="BM1" s="787"/>
      <c r="BN1" s="787"/>
      <c r="BO1" s="787"/>
      <c r="BP1" s="787"/>
      <c r="BQ1" s="787"/>
      <c r="BR1" s="787"/>
      <c r="BS1" s="787"/>
      <c r="BT1" s="787"/>
      <c r="BU1" s="787"/>
      <c r="BV1" s="787"/>
      <c r="BW1" s="787"/>
      <c r="BX1" s="787"/>
      <c r="BY1" s="787"/>
      <c r="BZ1" s="787"/>
      <c r="CA1" s="787"/>
    </row>
    <row r="2" spans="1:79" s="789" customFormat="1" ht="20.25" customHeight="1">
      <c r="A2" s="782" t="s">
        <v>928</v>
      </c>
      <c r="B2" s="783"/>
      <c r="D2" s="790"/>
      <c r="E2" s="791"/>
      <c r="F2" s="791"/>
      <c r="G2" s="791"/>
      <c r="H2" s="791"/>
      <c r="I2" s="791"/>
      <c r="J2" s="791"/>
      <c r="K2" s="791"/>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787"/>
      <c r="BK2" s="787"/>
      <c r="BL2" s="787"/>
      <c r="BM2" s="787"/>
      <c r="BN2" s="787"/>
      <c r="BO2" s="787"/>
      <c r="BP2" s="787"/>
      <c r="BQ2" s="787"/>
      <c r="BR2" s="787"/>
      <c r="BS2" s="787"/>
      <c r="BT2" s="787"/>
      <c r="BU2" s="787"/>
      <c r="BV2" s="787"/>
      <c r="BW2" s="787"/>
      <c r="BX2" s="787"/>
      <c r="BY2" s="787"/>
      <c r="BZ2" s="787"/>
      <c r="CA2" s="787"/>
    </row>
    <row r="3" spans="1:79" s="789" customFormat="1" ht="15.75" customHeight="1">
      <c r="A3" s="792" t="s">
        <v>934</v>
      </c>
      <c r="B3" s="783"/>
      <c r="C3" s="793"/>
      <c r="D3" s="790"/>
      <c r="E3" s="791"/>
      <c r="F3" s="791"/>
      <c r="G3" s="791"/>
      <c r="H3" s="791"/>
      <c r="I3" s="791"/>
      <c r="J3" s="791"/>
      <c r="K3" s="791"/>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7"/>
      <c r="AW3" s="787"/>
      <c r="AX3" s="787"/>
      <c r="AY3" s="787"/>
      <c r="AZ3" s="787"/>
      <c r="BA3" s="787"/>
      <c r="BB3" s="787"/>
      <c r="BC3" s="787"/>
      <c r="BD3" s="787"/>
      <c r="BE3" s="787"/>
      <c r="BF3" s="787"/>
      <c r="BG3" s="787"/>
      <c r="BH3" s="787"/>
      <c r="BI3" s="787"/>
      <c r="BJ3" s="787"/>
      <c r="BK3" s="787"/>
      <c r="BL3" s="787"/>
      <c r="BM3" s="787"/>
      <c r="BN3" s="787"/>
      <c r="BO3" s="787"/>
      <c r="BP3" s="787"/>
      <c r="BQ3" s="787"/>
      <c r="BR3" s="787"/>
      <c r="BS3" s="787"/>
      <c r="BT3" s="787"/>
      <c r="BU3" s="787"/>
      <c r="BV3" s="787"/>
      <c r="BW3" s="787"/>
      <c r="BX3" s="787"/>
      <c r="BY3" s="787"/>
      <c r="BZ3" s="787"/>
      <c r="CA3" s="787"/>
    </row>
    <row r="4" spans="1:79" ht="4.2" customHeight="1">
      <c r="A4" s="794"/>
      <c r="B4" s="794"/>
      <c r="C4" s="795"/>
      <c r="D4" s="795"/>
      <c r="E4" s="796"/>
      <c r="F4" s="796"/>
      <c r="G4" s="796"/>
      <c r="H4" s="796"/>
      <c r="I4" s="796"/>
      <c r="J4" s="796"/>
      <c r="K4" s="796"/>
      <c r="L4" s="797"/>
      <c r="M4" s="797"/>
      <c r="N4" s="796"/>
      <c r="O4" s="795"/>
      <c r="P4" s="795"/>
      <c r="Q4" s="795"/>
      <c r="R4" s="796"/>
      <c r="S4" s="796"/>
      <c r="T4" s="796"/>
      <c r="U4" s="796"/>
      <c r="V4" s="796"/>
    </row>
    <row r="5" spans="1:79" s="801" customFormat="1" ht="4.2" customHeight="1">
      <c r="A5" s="799"/>
      <c r="B5" s="800"/>
      <c r="E5" s="802"/>
      <c r="F5" s="802"/>
      <c r="G5" s="802"/>
      <c r="H5" s="802"/>
      <c r="I5" s="802"/>
      <c r="J5" s="802"/>
      <c r="K5" s="802"/>
      <c r="L5" s="803"/>
      <c r="M5" s="803"/>
      <c r="N5" s="802"/>
      <c r="R5" s="802"/>
      <c r="S5" s="802"/>
      <c r="T5" s="802"/>
      <c r="U5" s="802"/>
      <c r="V5" s="802"/>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03"/>
      <c r="AX5" s="803"/>
      <c r="AY5" s="803"/>
      <c r="AZ5" s="803"/>
      <c r="BA5" s="803"/>
      <c r="BB5" s="803"/>
      <c r="BC5" s="803"/>
      <c r="BD5" s="803"/>
      <c r="BE5" s="803"/>
      <c r="BF5" s="803"/>
      <c r="BG5" s="803"/>
      <c r="BH5" s="803"/>
      <c r="BI5" s="803"/>
      <c r="BJ5" s="803"/>
      <c r="BK5" s="803"/>
      <c r="BL5" s="803"/>
      <c r="BM5" s="803"/>
      <c r="BN5" s="803"/>
      <c r="BO5" s="803"/>
      <c r="BP5" s="803"/>
      <c r="BQ5" s="803"/>
      <c r="BR5" s="803"/>
      <c r="BS5" s="803"/>
      <c r="BT5" s="803"/>
      <c r="BU5" s="803"/>
      <c r="BV5" s="803"/>
      <c r="BW5" s="803"/>
      <c r="BX5" s="803"/>
      <c r="BY5" s="803"/>
      <c r="BZ5" s="803"/>
      <c r="CA5" s="803"/>
    </row>
    <row r="6" spans="1:79" s="801" customFormat="1" ht="12" customHeight="1">
      <c r="A6" s="799"/>
      <c r="B6" s="800"/>
      <c r="E6" s="804" t="s">
        <v>912</v>
      </c>
      <c r="F6" s="804"/>
      <c r="G6" s="804"/>
      <c r="H6" s="804"/>
      <c r="I6" s="804"/>
      <c r="J6" s="805"/>
      <c r="K6" s="805" t="s">
        <v>146</v>
      </c>
      <c r="L6" s="806"/>
      <c r="M6" s="806"/>
      <c r="N6" s="804" t="s">
        <v>913</v>
      </c>
      <c r="O6" s="804"/>
      <c r="P6" s="804"/>
      <c r="Q6" s="804"/>
      <c r="R6" s="804"/>
      <c r="S6" s="804"/>
      <c r="T6" s="804"/>
      <c r="U6" s="804"/>
      <c r="V6" s="804"/>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3"/>
      <c r="AY6" s="803"/>
      <c r="AZ6" s="803"/>
      <c r="BA6" s="803"/>
      <c r="BB6" s="803"/>
      <c r="BC6" s="803"/>
      <c r="BD6" s="803"/>
      <c r="BE6" s="803"/>
      <c r="BF6" s="803"/>
      <c r="BG6" s="803"/>
      <c r="BH6" s="803"/>
      <c r="BI6" s="803"/>
      <c r="BJ6" s="803"/>
      <c r="BK6" s="803"/>
      <c r="BL6" s="803"/>
      <c r="BM6" s="803"/>
      <c r="BN6" s="803"/>
      <c r="BO6" s="803"/>
      <c r="BP6" s="803"/>
      <c r="BQ6" s="803"/>
      <c r="BR6" s="803"/>
      <c r="BS6" s="803"/>
      <c r="BT6" s="803"/>
      <c r="BU6" s="803"/>
      <c r="BV6" s="803"/>
      <c r="BW6" s="803"/>
      <c r="BX6" s="803"/>
      <c r="BY6" s="803"/>
      <c r="BZ6" s="803"/>
      <c r="CA6" s="803"/>
    </row>
    <row r="7" spans="1:79" ht="12" customHeight="1">
      <c r="C7" s="808"/>
      <c r="D7" s="808"/>
      <c r="E7" s="809" t="s">
        <v>1024</v>
      </c>
      <c r="F7" s="810"/>
      <c r="G7" s="811"/>
      <c r="H7" s="812" t="s">
        <v>921</v>
      </c>
      <c r="I7" s="810"/>
      <c r="J7" s="806"/>
      <c r="K7" s="798"/>
      <c r="M7" s="813"/>
      <c r="N7" s="1334" t="s">
        <v>922</v>
      </c>
      <c r="O7" s="1334"/>
      <c r="P7" s="814"/>
      <c r="Q7" s="809" t="s">
        <v>923</v>
      </c>
      <c r="R7" s="815"/>
      <c r="S7" s="810"/>
      <c r="T7" s="806"/>
      <c r="U7" s="812" t="s">
        <v>924</v>
      </c>
      <c r="V7" s="810"/>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3"/>
      <c r="AY7" s="803"/>
      <c r="AZ7" s="803"/>
      <c r="BA7" s="803"/>
      <c r="BB7" s="803"/>
      <c r="BC7" s="803"/>
      <c r="BD7" s="803"/>
      <c r="BE7" s="803"/>
      <c r="BF7" s="803"/>
      <c r="BG7" s="803"/>
      <c r="BH7" s="803"/>
      <c r="BI7" s="803"/>
      <c r="BJ7" s="803"/>
      <c r="BK7" s="803"/>
      <c r="BL7" s="803"/>
      <c r="BM7" s="803"/>
      <c r="BN7" s="803"/>
      <c r="BO7" s="803"/>
      <c r="BP7" s="803"/>
      <c r="BQ7" s="803"/>
      <c r="BR7" s="803"/>
      <c r="BS7" s="803"/>
      <c r="BT7" s="803"/>
      <c r="BU7" s="803"/>
      <c r="BV7" s="803"/>
      <c r="BW7" s="803"/>
      <c r="BX7" s="803"/>
      <c r="BY7" s="803"/>
      <c r="BZ7" s="803"/>
      <c r="CA7" s="803"/>
    </row>
    <row r="8" spans="1:79" ht="12" customHeight="1">
      <c r="C8" s="816"/>
      <c r="D8" s="816"/>
      <c r="E8" s="817" t="s">
        <v>929</v>
      </c>
      <c r="F8" s="817" t="s">
        <v>930</v>
      </c>
      <c r="G8" s="817"/>
      <c r="H8" s="817" t="s">
        <v>929</v>
      </c>
      <c r="I8" s="817" t="s">
        <v>931</v>
      </c>
      <c r="J8" s="817"/>
      <c r="K8" s="818" t="s">
        <v>929</v>
      </c>
      <c r="L8" s="819" t="s">
        <v>931</v>
      </c>
      <c r="M8" s="813"/>
      <c r="N8" s="817" t="s">
        <v>932</v>
      </c>
      <c r="O8" s="820" t="s">
        <v>932</v>
      </c>
      <c r="P8" s="817"/>
      <c r="Q8" s="813" t="s">
        <v>932</v>
      </c>
      <c r="R8" s="820" t="s">
        <v>932</v>
      </c>
      <c r="S8" s="820" t="s">
        <v>932</v>
      </c>
      <c r="T8" s="817"/>
      <c r="U8" s="820" t="s">
        <v>933</v>
      </c>
      <c r="V8" s="820" t="s">
        <v>932</v>
      </c>
    </row>
    <row r="9" spans="1:79" ht="12" customHeight="1">
      <c r="C9" s="816"/>
      <c r="D9" s="816"/>
      <c r="E9" s="813" t="s">
        <v>935</v>
      </c>
      <c r="F9" s="817" t="s">
        <v>936</v>
      </c>
      <c r="G9" s="817"/>
      <c r="H9" s="813" t="s">
        <v>935</v>
      </c>
      <c r="I9" s="817" t="s">
        <v>936</v>
      </c>
      <c r="J9" s="817"/>
      <c r="K9" s="813" t="s">
        <v>935</v>
      </c>
      <c r="L9" s="813" t="s">
        <v>936</v>
      </c>
      <c r="M9" s="813"/>
      <c r="N9" s="817" t="s">
        <v>937</v>
      </c>
      <c r="O9" s="817" t="s">
        <v>938</v>
      </c>
      <c r="P9" s="817"/>
      <c r="Q9" s="817" t="s">
        <v>937</v>
      </c>
      <c r="R9" s="817" t="s">
        <v>938</v>
      </c>
      <c r="S9" s="817" t="s">
        <v>939</v>
      </c>
      <c r="T9" s="817"/>
      <c r="U9" s="817" t="s">
        <v>940</v>
      </c>
      <c r="V9" s="817" t="s">
        <v>940</v>
      </c>
    </row>
    <row r="10" spans="1:79" ht="12" customHeight="1">
      <c r="C10" s="816"/>
      <c r="D10" s="816"/>
      <c r="E10" s="793"/>
      <c r="F10" s="817"/>
      <c r="G10" s="817"/>
      <c r="H10" s="793"/>
      <c r="I10" s="817"/>
      <c r="J10" s="817"/>
      <c r="K10" s="793"/>
      <c r="L10" s="793"/>
      <c r="M10" s="793"/>
      <c r="N10" s="817" t="s">
        <v>941</v>
      </c>
      <c r="O10" s="817" t="s">
        <v>942</v>
      </c>
      <c r="P10" s="817"/>
      <c r="Q10" s="817" t="s">
        <v>941</v>
      </c>
      <c r="R10" s="817" t="s">
        <v>940</v>
      </c>
      <c r="S10" s="817" t="s">
        <v>942</v>
      </c>
      <c r="T10" s="817"/>
      <c r="U10" s="813"/>
      <c r="V10" s="813"/>
    </row>
    <row r="11" spans="1:79" ht="12" customHeight="1">
      <c r="A11" s="821"/>
      <c r="B11" s="821"/>
      <c r="C11" s="821"/>
      <c r="D11" s="821"/>
      <c r="E11" s="822"/>
      <c r="F11" s="822"/>
      <c r="G11" s="822"/>
      <c r="H11" s="822"/>
      <c r="I11" s="822"/>
      <c r="J11" s="822"/>
      <c r="K11" s="822"/>
      <c r="L11" s="822"/>
      <c r="M11" s="822"/>
      <c r="N11" s="793"/>
      <c r="O11" s="817" t="s">
        <v>940</v>
      </c>
      <c r="P11" s="817"/>
      <c r="Q11" s="793"/>
      <c r="R11" s="793"/>
      <c r="S11" s="817" t="s">
        <v>940</v>
      </c>
      <c r="T11" s="817"/>
      <c r="U11" s="793"/>
      <c r="V11" s="793"/>
    </row>
    <row r="12" spans="1:79" ht="4.2" customHeight="1">
      <c r="A12" s="794"/>
      <c r="B12" s="794"/>
      <c r="C12" s="795"/>
      <c r="D12" s="795"/>
      <c r="E12" s="796"/>
      <c r="F12" s="796"/>
      <c r="G12" s="796"/>
      <c r="H12" s="796"/>
      <c r="I12" s="796"/>
      <c r="J12" s="796"/>
      <c r="K12" s="796"/>
      <c r="L12" s="796"/>
      <c r="M12" s="796"/>
      <c r="N12" s="796"/>
      <c r="O12" s="795"/>
      <c r="P12" s="795"/>
      <c r="Q12" s="795"/>
      <c r="R12" s="796"/>
      <c r="S12" s="796"/>
      <c r="T12" s="796"/>
      <c r="U12" s="796"/>
      <c r="V12" s="796"/>
    </row>
    <row r="13" spans="1:79" ht="4.2" customHeight="1">
      <c r="B13" s="821"/>
      <c r="C13" s="816"/>
      <c r="D13" s="816"/>
      <c r="E13" s="823"/>
      <c r="F13" s="823"/>
      <c r="G13" s="823"/>
      <c r="H13" s="823"/>
      <c r="I13" s="823"/>
      <c r="J13" s="823"/>
      <c r="K13" s="823"/>
      <c r="L13" s="823"/>
      <c r="M13" s="823"/>
      <c r="N13" s="823"/>
      <c r="O13" s="823"/>
      <c r="P13" s="823"/>
      <c r="Q13" s="823"/>
      <c r="R13" s="823"/>
      <c r="S13" s="823"/>
      <c r="T13" s="823"/>
      <c r="U13" s="823"/>
      <c r="V13" s="823"/>
    </row>
    <row r="14" spans="1:79" ht="12.75" customHeight="1">
      <c r="A14" s="807" t="s">
        <v>1025</v>
      </c>
      <c r="B14" s="821"/>
      <c r="C14" s="816"/>
      <c r="D14" s="816"/>
      <c r="E14" s="823">
        <v>760</v>
      </c>
      <c r="F14" s="823">
        <v>450</v>
      </c>
      <c r="G14" s="823"/>
      <c r="H14" s="823">
        <v>2920</v>
      </c>
      <c r="I14" s="823">
        <v>2960</v>
      </c>
      <c r="J14" s="823"/>
      <c r="K14" s="823">
        <v>4640</v>
      </c>
      <c r="L14" s="823">
        <v>6340</v>
      </c>
      <c r="M14" s="823"/>
      <c r="N14" s="823">
        <v>650</v>
      </c>
      <c r="O14" s="823">
        <v>590</v>
      </c>
      <c r="P14" s="823"/>
      <c r="Q14" s="823">
        <v>2140</v>
      </c>
      <c r="R14" s="823">
        <v>2710</v>
      </c>
      <c r="S14" s="823">
        <v>890</v>
      </c>
      <c r="T14" s="823"/>
      <c r="U14" s="823">
        <v>2330</v>
      </c>
      <c r="V14" s="823">
        <v>1130</v>
      </c>
    </row>
    <row r="15" spans="1:79" s="827" customFormat="1" ht="12.75" customHeight="1">
      <c r="A15" s="824" t="s">
        <v>1026</v>
      </c>
      <c r="B15" s="825"/>
      <c r="C15" s="826"/>
      <c r="D15" s="826"/>
      <c r="E15" s="823">
        <v>130</v>
      </c>
      <c r="F15" s="823">
        <v>100</v>
      </c>
      <c r="G15" s="823"/>
      <c r="H15" s="823">
        <v>530</v>
      </c>
      <c r="I15" s="823">
        <v>690</v>
      </c>
      <c r="J15" s="823"/>
      <c r="K15" s="823">
        <v>920</v>
      </c>
      <c r="L15" s="823">
        <v>1340</v>
      </c>
      <c r="M15" s="823"/>
      <c r="N15" s="823">
        <v>120</v>
      </c>
      <c r="O15" s="823">
        <v>100</v>
      </c>
      <c r="P15" s="823"/>
      <c r="Q15" s="823">
        <v>410</v>
      </c>
      <c r="R15" s="823">
        <v>520</v>
      </c>
      <c r="S15" s="823">
        <v>150</v>
      </c>
      <c r="T15" s="823"/>
      <c r="U15" s="823">
        <v>420</v>
      </c>
      <c r="V15" s="823">
        <v>180</v>
      </c>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3"/>
      <c r="BW15" s="803"/>
      <c r="BX15" s="803"/>
      <c r="BY15" s="803"/>
      <c r="BZ15" s="803"/>
      <c r="CA15" s="803"/>
    </row>
    <row r="16" spans="1:79" s="827" customFormat="1" ht="12.75" customHeight="1">
      <c r="A16" s="824" t="s">
        <v>1027</v>
      </c>
      <c r="B16" s="825"/>
      <c r="C16" s="826"/>
      <c r="D16" s="826"/>
      <c r="E16" s="823">
        <v>130</v>
      </c>
      <c r="F16" s="823">
        <v>210</v>
      </c>
      <c r="G16" s="823"/>
      <c r="H16" s="823">
        <v>530</v>
      </c>
      <c r="I16" s="823">
        <v>1380</v>
      </c>
      <c r="J16" s="823"/>
      <c r="K16" s="823">
        <v>920</v>
      </c>
      <c r="L16" s="823">
        <v>2670</v>
      </c>
      <c r="M16" s="823"/>
      <c r="N16" s="823">
        <v>240</v>
      </c>
      <c r="O16" s="823">
        <v>330</v>
      </c>
      <c r="P16" s="823"/>
      <c r="Q16" s="823">
        <v>1240</v>
      </c>
      <c r="R16" s="823">
        <v>2090</v>
      </c>
      <c r="S16" s="823">
        <v>810</v>
      </c>
      <c r="T16" s="823"/>
      <c r="U16" s="823">
        <v>1390</v>
      </c>
      <c r="V16" s="823">
        <v>890</v>
      </c>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3"/>
      <c r="BW16" s="803"/>
      <c r="BX16" s="803"/>
      <c r="BY16" s="803"/>
      <c r="BZ16" s="803"/>
      <c r="CA16" s="803"/>
    </row>
    <row r="17" spans="1:79" s="827" customFormat="1" ht="12.75" customHeight="1">
      <c r="A17" s="824" t="s">
        <v>1028</v>
      </c>
      <c r="B17" s="825"/>
      <c r="C17" s="826"/>
      <c r="D17" s="826"/>
      <c r="E17" s="823">
        <v>130</v>
      </c>
      <c r="F17" s="823">
        <v>210</v>
      </c>
      <c r="G17" s="823"/>
      <c r="H17" s="823">
        <v>530</v>
      </c>
      <c r="I17" s="823">
        <v>1380</v>
      </c>
      <c r="J17" s="823"/>
      <c r="K17" s="823">
        <v>920</v>
      </c>
      <c r="L17" s="823">
        <v>2670</v>
      </c>
      <c r="M17" s="823"/>
      <c r="N17" s="823">
        <v>120</v>
      </c>
      <c r="O17" s="823">
        <v>100</v>
      </c>
      <c r="P17" s="823"/>
      <c r="Q17" s="823">
        <v>830</v>
      </c>
      <c r="R17" s="823">
        <v>1050</v>
      </c>
      <c r="S17" s="823">
        <v>310</v>
      </c>
      <c r="T17" s="823"/>
      <c r="U17" s="823">
        <v>1390</v>
      </c>
      <c r="V17" s="823">
        <v>620</v>
      </c>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c r="BG17" s="803"/>
      <c r="BH17" s="803"/>
      <c r="BI17" s="803"/>
      <c r="BJ17" s="803"/>
      <c r="BK17" s="803"/>
      <c r="BL17" s="803"/>
      <c r="BM17" s="803"/>
      <c r="BN17" s="803"/>
      <c r="BO17" s="803"/>
      <c r="BP17" s="803"/>
      <c r="BQ17" s="803"/>
      <c r="BR17" s="803"/>
      <c r="BS17" s="803"/>
      <c r="BT17" s="803"/>
      <c r="BU17" s="803"/>
      <c r="BV17" s="803"/>
      <c r="BW17" s="803"/>
      <c r="BX17" s="803"/>
      <c r="BY17" s="803"/>
      <c r="BZ17" s="803"/>
      <c r="CA17" s="803"/>
    </row>
    <row r="18" spans="1:79" ht="6" customHeight="1">
      <c r="B18" s="821"/>
      <c r="C18" s="816"/>
      <c r="D18" s="816"/>
      <c r="E18" s="828"/>
      <c r="F18" s="828"/>
      <c r="G18" s="828"/>
      <c r="H18" s="828"/>
      <c r="I18" s="828"/>
      <c r="J18" s="828"/>
      <c r="K18" s="829"/>
      <c r="L18" s="829"/>
      <c r="M18" s="829"/>
      <c r="N18" s="828"/>
      <c r="O18" s="828"/>
      <c r="P18" s="828"/>
      <c r="Q18" s="829"/>
      <c r="R18" s="828"/>
      <c r="S18" s="828"/>
      <c r="T18" s="828"/>
      <c r="U18" s="828"/>
      <c r="V18" s="828"/>
    </row>
    <row r="19" spans="1:79" s="832" customFormat="1" ht="12.75" customHeight="1">
      <c r="A19" s="830" t="s">
        <v>1029</v>
      </c>
      <c r="B19" s="831"/>
      <c r="C19" s="829"/>
      <c r="D19" s="829"/>
      <c r="E19" s="829">
        <v>1</v>
      </c>
      <c r="F19" s="829">
        <v>2</v>
      </c>
      <c r="G19" s="829"/>
      <c r="H19" s="829">
        <v>1</v>
      </c>
      <c r="I19" s="829">
        <v>2</v>
      </c>
      <c r="J19" s="829"/>
      <c r="K19" s="829">
        <v>1</v>
      </c>
      <c r="L19" s="829">
        <v>2</v>
      </c>
      <c r="M19" s="829"/>
      <c r="N19" s="829">
        <v>2</v>
      </c>
      <c r="O19" s="829">
        <v>3.3</v>
      </c>
      <c r="P19" s="829"/>
      <c r="Q19" s="829">
        <v>3</v>
      </c>
      <c r="R19" s="829">
        <v>4</v>
      </c>
      <c r="S19" s="829">
        <v>5.3</v>
      </c>
      <c r="T19" s="829"/>
      <c r="U19" s="829">
        <v>3.4</v>
      </c>
      <c r="V19" s="829">
        <v>5</v>
      </c>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3"/>
      <c r="AT19" s="803"/>
      <c r="AU19" s="803"/>
      <c r="AV19" s="803"/>
      <c r="AW19" s="803"/>
      <c r="AX19" s="803"/>
      <c r="AY19" s="803"/>
      <c r="AZ19" s="803"/>
      <c r="BA19" s="803"/>
      <c r="BB19" s="803"/>
      <c r="BC19" s="803"/>
      <c r="BD19" s="803"/>
      <c r="BE19" s="803"/>
      <c r="BF19" s="803"/>
      <c r="BG19" s="803"/>
      <c r="BH19" s="803"/>
      <c r="BI19" s="803"/>
      <c r="BJ19" s="803"/>
      <c r="BK19" s="803"/>
      <c r="BL19" s="803"/>
      <c r="BM19" s="803"/>
      <c r="BN19" s="803"/>
      <c r="BO19" s="803"/>
      <c r="BP19" s="803"/>
      <c r="BQ19" s="803"/>
      <c r="BR19" s="803"/>
      <c r="BS19" s="803"/>
      <c r="BT19" s="803"/>
      <c r="BU19" s="803"/>
      <c r="BV19" s="803"/>
      <c r="BW19" s="803"/>
      <c r="BX19" s="803"/>
      <c r="BY19" s="803"/>
      <c r="BZ19" s="803"/>
      <c r="CA19" s="803"/>
    </row>
    <row r="20" spans="1:79" ht="4.2" customHeight="1">
      <c r="A20" s="794"/>
      <c r="B20" s="794"/>
      <c r="C20" s="795"/>
      <c r="D20" s="795"/>
      <c r="E20" s="796"/>
      <c r="F20" s="796"/>
      <c r="G20" s="796"/>
      <c r="H20" s="796"/>
      <c r="I20" s="796"/>
      <c r="J20" s="796"/>
      <c r="K20" s="796"/>
      <c r="L20" s="796"/>
      <c r="M20" s="796"/>
      <c r="N20" s="796"/>
      <c r="O20" s="796"/>
      <c r="P20" s="796"/>
      <c r="Q20" s="796"/>
      <c r="R20" s="796"/>
      <c r="S20" s="796"/>
      <c r="T20" s="796"/>
      <c r="U20" s="796"/>
      <c r="V20" s="796"/>
    </row>
    <row r="21" spans="1:79" ht="4.2" customHeight="1">
      <c r="B21" s="821"/>
      <c r="C21" s="816"/>
      <c r="D21" s="816"/>
      <c r="E21" s="828"/>
      <c r="F21" s="828"/>
      <c r="G21" s="828"/>
      <c r="H21" s="828"/>
      <c r="I21" s="828"/>
      <c r="J21" s="828"/>
      <c r="K21" s="828"/>
      <c r="L21" s="828"/>
      <c r="M21" s="828"/>
      <c r="N21" s="828"/>
      <c r="O21" s="828"/>
      <c r="P21" s="828"/>
      <c r="Q21" s="828"/>
      <c r="R21" s="828"/>
      <c r="S21" s="828"/>
      <c r="T21" s="828"/>
      <c r="U21" s="828"/>
      <c r="V21" s="828"/>
    </row>
    <row r="22" spans="1:79" s="834" customFormat="1" ht="12.75" customHeight="1">
      <c r="A22" s="833" t="s">
        <v>1030</v>
      </c>
      <c r="C22" s="835"/>
      <c r="D22" s="835"/>
      <c r="E22" s="836"/>
      <c r="F22" s="1335" t="s">
        <v>1031</v>
      </c>
      <c r="G22" s="1335"/>
      <c r="H22" s="1335"/>
      <c r="I22" s="1335"/>
      <c r="J22" s="1335"/>
      <c r="K22" s="1335"/>
      <c r="L22" s="1335"/>
      <c r="M22" s="1335"/>
      <c r="N22" s="1335"/>
      <c r="O22" s="1335"/>
      <c r="P22" s="1335"/>
      <c r="Q22" s="1335"/>
      <c r="R22" s="1335"/>
      <c r="S22" s="1335"/>
      <c r="T22" s="1335"/>
      <c r="U22" s="1335"/>
      <c r="V22" s="837"/>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8"/>
      <c r="AY22" s="838"/>
      <c r="AZ22" s="838"/>
      <c r="BA22" s="838"/>
      <c r="BB22" s="838"/>
      <c r="BC22" s="838"/>
      <c r="BD22" s="838"/>
      <c r="BE22" s="838"/>
      <c r="BF22" s="838"/>
      <c r="BG22" s="838"/>
      <c r="BH22" s="838"/>
      <c r="BI22" s="838"/>
      <c r="BJ22" s="838"/>
      <c r="BK22" s="838"/>
      <c r="BL22" s="838"/>
      <c r="BM22" s="838"/>
      <c r="BN22" s="838"/>
      <c r="BO22" s="838"/>
      <c r="BP22" s="838"/>
      <c r="BQ22" s="838"/>
      <c r="BR22" s="838"/>
      <c r="BS22" s="838"/>
      <c r="BT22" s="838"/>
      <c r="BU22" s="838"/>
      <c r="BV22" s="838"/>
      <c r="BW22" s="838"/>
      <c r="BX22" s="838"/>
      <c r="BY22" s="838"/>
      <c r="BZ22" s="838"/>
      <c r="CA22" s="838"/>
    </row>
    <row r="23" spans="1:79" ht="4.2" customHeight="1">
      <c r="A23" s="794"/>
      <c r="B23" s="795"/>
      <c r="C23" s="795"/>
      <c r="D23" s="795"/>
      <c r="E23" s="796"/>
      <c r="F23" s="796"/>
      <c r="G23" s="796"/>
      <c r="H23" s="796"/>
      <c r="I23" s="796"/>
      <c r="J23" s="796"/>
      <c r="K23" s="796"/>
      <c r="L23" s="796"/>
      <c r="M23" s="796"/>
      <c r="N23" s="796"/>
      <c r="O23" s="796"/>
      <c r="P23" s="796"/>
      <c r="Q23" s="796"/>
      <c r="R23" s="796"/>
      <c r="S23" s="796"/>
      <c r="T23" s="796"/>
      <c r="U23" s="796"/>
      <c r="V23" s="796"/>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c r="BM23" s="803"/>
      <c r="BN23" s="803"/>
      <c r="BO23" s="803"/>
      <c r="BP23" s="803"/>
      <c r="BQ23" s="803"/>
      <c r="BR23" s="803"/>
      <c r="BS23" s="803"/>
      <c r="BT23" s="803"/>
      <c r="BU23" s="803"/>
      <c r="BV23" s="803"/>
      <c r="BW23" s="803"/>
      <c r="BX23" s="803"/>
      <c r="BY23" s="803"/>
      <c r="BZ23" s="803"/>
      <c r="CA23" s="803"/>
    </row>
    <row r="24" spans="1:79" s="821" customFormat="1" ht="4.2" customHeight="1">
      <c r="A24" s="800"/>
      <c r="B24" s="800"/>
      <c r="C24" s="839"/>
      <c r="D24" s="839"/>
      <c r="E24" s="840"/>
      <c r="F24" s="840"/>
      <c r="G24" s="840"/>
      <c r="H24" s="840"/>
      <c r="I24" s="840"/>
      <c r="J24" s="840"/>
      <c r="K24" s="840"/>
      <c r="L24" s="840"/>
      <c r="M24" s="840"/>
      <c r="N24" s="840"/>
      <c r="O24" s="840"/>
      <c r="P24" s="840"/>
      <c r="Q24" s="840"/>
      <c r="R24" s="840"/>
      <c r="S24" s="840"/>
      <c r="T24" s="840"/>
      <c r="U24" s="840"/>
      <c r="V24" s="840"/>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c r="BM24" s="803"/>
      <c r="BN24" s="803"/>
      <c r="BO24" s="803"/>
      <c r="BP24" s="803"/>
      <c r="BQ24" s="803"/>
      <c r="BR24" s="803"/>
      <c r="BS24" s="803"/>
      <c r="BT24" s="803"/>
      <c r="BU24" s="803"/>
      <c r="BV24" s="803"/>
      <c r="BW24" s="803"/>
      <c r="BX24" s="803"/>
      <c r="BY24" s="803"/>
      <c r="BZ24" s="803"/>
      <c r="CA24" s="803"/>
    </row>
    <row r="25" spans="1:79" s="846" customFormat="1" ht="12.75" customHeight="1">
      <c r="A25" s="841">
        <v>1</v>
      </c>
      <c r="B25" s="842" t="s">
        <v>984</v>
      </c>
      <c r="C25" s="843"/>
      <c r="D25" s="843"/>
      <c r="E25" s="844">
        <v>34.5</v>
      </c>
      <c r="F25" s="844">
        <v>60.8</v>
      </c>
      <c r="G25" s="844"/>
      <c r="H25" s="844">
        <v>35</v>
      </c>
      <c r="I25" s="844">
        <v>69</v>
      </c>
      <c r="J25" s="844"/>
      <c r="K25" s="844">
        <v>33.5</v>
      </c>
      <c r="L25" s="844">
        <v>63.7</v>
      </c>
      <c r="M25" s="844"/>
      <c r="N25" s="844">
        <v>42.7</v>
      </c>
      <c r="O25" s="844">
        <v>52.3</v>
      </c>
      <c r="P25" s="844"/>
      <c r="Q25" s="844">
        <v>74.7</v>
      </c>
      <c r="R25" s="844">
        <v>86.3</v>
      </c>
      <c r="S25" s="844">
        <v>85.5</v>
      </c>
      <c r="T25" s="844"/>
      <c r="U25" s="844">
        <v>87.9</v>
      </c>
      <c r="V25" s="844">
        <v>106.1</v>
      </c>
      <c r="W25" s="845"/>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5"/>
      <c r="AY25" s="845"/>
      <c r="AZ25" s="845"/>
      <c r="BA25" s="845"/>
      <c r="BB25" s="845"/>
      <c r="BC25" s="845"/>
      <c r="BD25" s="845"/>
      <c r="BE25" s="845"/>
      <c r="BF25" s="845"/>
      <c r="BG25" s="845"/>
      <c r="BH25" s="845"/>
      <c r="BI25" s="845"/>
      <c r="BJ25" s="845"/>
      <c r="BK25" s="845"/>
      <c r="BL25" s="845"/>
      <c r="BM25" s="845"/>
      <c r="BN25" s="845"/>
      <c r="BO25" s="845"/>
      <c r="BP25" s="845"/>
      <c r="BQ25" s="845"/>
      <c r="BR25" s="845"/>
      <c r="BS25" s="845"/>
      <c r="BT25" s="845"/>
      <c r="BU25" s="845"/>
      <c r="BV25" s="845"/>
      <c r="BW25" s="845"/>
      <c r="BX25" s="845"/>
      <c r="BY25" s="845"/>
      <c r="BZ25" s="845"/>
      <c r="CA25" s="845"/>
    </row>
    <row r="26" spans="1:79" s="851" customFormat="1" ht="7.5" customHeight="1">
      <c r="A26" s="847"/>
      <c r="B26" s="847"/>
      <c r="C26" s="848"/>
      <c r="D26" s="848"/>
      <c r="E26" s="849"/>
      <c r="F26" s="849"/>
      <c r="G26" s="849"/>
      <c r="H26" s="849"/>
      <c r="I26" s="849"/>
      <c r="J26" s="849"/>
      <c r="K26" s="849"/>
      <c r="L26" s="849"/>
      <c r="M26" s="849"/>
      <c r="N26" s="849"/>
      <c r="O26" s="849"/>
      <c r="P26" s="849"/>
      <c r="Q26" s="849"/>
      <c r="R26" s="849"/>
      <c r="S26" s="849"/>
      <c r="T26" s="849"/>
      <c r="U26" s="849"/>
      <c r="V26" s="849"/>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AT26" s="850"/>
      <c r="AU26" s="850"/>
      <c r="AV26" s="850"/>
      <c r="AW26" s="850"/>
      <c r="AX26" s="850"/>
      <c r="AY26" s="850"/>
      <c r="AZ26" s="850"/>
      <c r="BA26" s="850"/>
      <c r="BB26" s="850"/>
      <c r="BC26" s="850"/>
      <c r="BD26" s="850"/>
      <c r="BE26" s="850"/>
      <c r="BF26" s="850"/>
      <c r="BG26" s="850"/>
      <c r="BH26" s="850"/>
      <c r="BI26" s="850"/>
      <c r="BJ26" s="850"/>
      <c r="BK26" s="850"/>
      <c r="BL26" s="850"/>
      <c r="BM26" s="850"/>
      <c r="BN26" s="850"/>
      <c r="BO26" s="850"/>
      <c r="BP26" s="850"/>
      <c r="BQ26" s="850"/>
      <c r="BR26" s="850"/>
      <c r="BS26" s="850"/>
      <c r="BT26" s="850"/>
      <c r="BU26" s="850"/>
      <c r="BV26" s="850"/>
      <c r="BW26" s="850"/>
      <c r="BX26" s="850"/>
      <c r="BY26" s="850"/>
      <c r="BZ26" s="850"/>
      <c r="CA26" s="850"/>
    </row>
    <row r="27" spans="1:79" s="846" customFormat="1" ht="12.75" customHeight="1">
      <c r="A27" s="841">
        <v>2</v>
      </c>
      <c r="B27" s="842" t="s">
        <v>1032</v>
      </c>
      <c r="C27" s="843"/>
      <c r="D27" s="843"/>
      <c r="E27" s="844">
        <v>5.4</v>
      </c>
      <c r="F27" s="844">
        <v>10.5</v>
      </c>
      <c r="G27" s="844"/>
      <c r="H27" s="844">
        <v>7.7</v>
      </c>
      <c r="I27" s="844">
        <v>15.6</v>
      </c>
      <c r="J27" s="844"/>
      <c r="K27" s="844">
        <v>10</v>
      </c>
      <c r="L27" s="844">
        <v>14.5</v>
      </c>
      <c r="M27" s="844"/>
      <c r="N27" s="844">
        <v>4.4000000000000004</v>
      </c>
      <c r="O27" s="844">
        <v>4.5</v>
      </c>
      <c r="P27" s="844"/>
      <c r="Q27" s="844">
        <v>11.7</v>
      </c>
      <c r="R27" s="844">
        <v>12</v>
      </c>
      <c r="S27" s="844">
        <v>9.9</v>
      </c>
      <c r="T27" s="844"/>
      <c r="U27" s="844">
        <v>17.899999999999999</v>
      </c>
      <c r="V27" s="844">
        <v>15.1</v>
      </c>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5"/>
      <c r="AV27" s="845"/>
      <c r="AW27" s="845"/>
      <c r="AX27" s="845"/>
      <c r="AY27" s="845"/>
      <c r="AZ27" s="845"/>
      <c r="BA27" s="845"/>
      <c r="BB27" s="845"/>
      <c r="BC27" s="845"/>
      <c r="BD27" s="845"/>
      <c r="BE27" s="845"/>
      <c r="BF27" s="845"/>
      <c r="BG27" s="845"/>
      <c r="BH27" s="845"/>
      <c r="BI27" s="845"/>
      <c r="BJ27" s="845"/>
      <c r="BK27" s="845"/>
      <c r="BL27" s="845"/>
      <c r="BM27" s="845"/>
      <c r="BN27" s="845"/>
      <c r="BO27" s="845"/>
      <c r="BP27" s="845"/>
      <c r="BQ27" s="845"/>
      <c r="BR27" s="845"/>
      <c r="BS27" s="845"/>
      <c r="BT27" s="845"/>
      <c r="BU27" s="845"/>
      <c r="BV27" s="845"/>
      <c r="BW27" s="845"/>
      <c r="BX27" s="845"/>
      <c r="BY27" s="845"/>
      <c r="BZ27" s="845"/>
      <c r="CA27" s="845"/>
    </row>
    <row r="28" spans="1:79" s="851" customFormat="1" ht="7.5" customHeight="1">
      <c r="A28" s="847"/>
      <c r="B28" s="847"/>
      <c r="C28" s="848"/>
      <c r="D28" s="848"/>
      <c r="E28" s="849"/>
      <c r="F28" s="849"/>
      <c r="G28" s="849"/>
      <c r="H28" s="849"/>
      <c r="I28" s="849"/>
      <c r="J28" s="849"/>
      <c r="K28" s="849"/>
      <c r="L28" s="849"/>
      <c r="M28" s="849"/>
      <c r="N28" s="849"/>
      <c r="O28" s="849"/>
      <c r="P28" s="849"/>
      <c r="Q28" s="849"/>
      <c r="R28" s="849"/>
      <c r="S28" s="849"/>
      <c r="T28" s="849"/>
      <c r="U28" s="849"/>
      <c r="V28" s="849"/>
      <c r="W28" s="850"/>
      <c r="X28" s="850"/>
      <c r="Y28" s="850"/>
      <c r="Z28" s="850"/>
      <c r="AA28" s="850"/>
      <c r="AB28" s="850"/>
      <c r="AC28" s="850"/>
      <c r="AD28" s="850"/>
      <c r="AE28" s="850"/>
      <c r="AF28" s="850"/>
      <c r="AG28" s="850"/>
      <c r="AH28" s="850"/>
      <c r="AI28" s="850"/>
      <c r="AJ28" s="850"/>
      <c r="AK28" s="850"/>
      <c r="AL28" s="850"/>
      <c r="AM28" s="850"/>
      <c r="AN28" s="850"/>
      <c r="AO28" s="850"/>
      <c r="AP28" s="850"/>
      <c r="AQ28" s="850"/>
      <c r="AR28" s="850"/>
      <c r="AS28" s="850"/>
      <c r="AT28" s="850"/>
      <c r="AU28" s="850"/>
      <c r="AV28" s="850"/>
      <c r="AW28" s="850"/>
      <c r="AX28" s="850"/>
      <c r="AY28" s="850"/>
      <c r="AZ28" s="850"/>
      <c r="BA28" s="850"/>
      <c r="BB28" s="850"/>
      <c r="BC28" s="850"/>
      <c r="BD28" s="850"/>
      <c r="BE28" s="850"/>
      <c r="BF28" s="850"/>
      <c r="BG28" s="850"/>
      <c r="BH28" s="850"/>
      <c r="BI28" s="850"/>
      <c r="BJ28" s="850"/>
      <c r="BK28" s="850"/>
      <c r="BL28" s="850"/>
      <c r="BM28" s="850"/>
      <c r="BN28" s="850"/>
      <c r="BO28" s="850"/>
      <c r="BP28" s="850"/>
      <c r="BQ28" s="850"/>
      <c r="BR28" s="850"/>
      <c r="BS28" s="850"/>
      <c r="BT28" s="850"/>
      <c r="BU28" s="850"/>
      <c r="BV28" s="850"/>
      <c r="BW28" s="850"/>
      <c r="BX28" s="850"/>
      <c r="BY28" s="850"/>
      <c r="BZ28" s="850"/>
      <c r="CA28" s="850"/>
    </row>
    <row r="29" spans="1:79" s="846" customFormat="1" ht="12.75" customHeight="1">
      <c r="A29" s="841">
        <v>3</v>
      </c>
      <c r="B29" s="846" t="s">
        <v>985</v>
      </c>
      <c r="C29" s="843"/>
      <c r="D29" s="843"/>
      <c r="E29" s="844">
        <v>5.6</v>
      </c>
      <c r="F29" s="844">
        <v>10.5</v>
      </c>
      <c r="G29" s="844"/>
      <c r="H29" s="844">
        <v>6.4</v>
      </c>
      <c r="I29" s="844">
        <v>14.9</v>
      </c>
      <c r="J29" s="844"/>
      <c r="K29" s="844">
        <v>9.8000000000000007</v>
      </c>
      <c r="L29" s="844">
        <v>17.600000000000001</v>
      </c>
      <c r="M29" s="844"/>
      <c r="N29" s="844">
        <v>13</v>
      </c>
      <c r="O29" s="844">
        <v>14.2</v>
      </c>
      <c r="P29" s="844"/>
      <c r="Q29" s="844">
        <v>26.2</v>
      </c>
      <c r="R29" s="844">
        <v>22.9</v>
      </c>
      <c r="S29" s="844">
        <v>28.7</v>
      </c>
      <c r="T29" s="844"/>
      <c r="U29" s="844">
        <v>30.4</v>
      </c>
      <c r="V29" s="844">
        <v>36.1</v>
      </c>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5"/>
      <c r="BG29" s="845"/>
      <c r="BH29" s="845"/>
      <c r="BI29" s="845"/>
      <c r="BJ29" s="845"/>
      <c r="BK29" s="845"/>
      <c r="BL29" s="845"/>
      <c r="BM29" s="845"/>
      <c r="BN29" s="845"/>
      <c r="BO29" s="845"/>
      <c r="BP29" s="845"/>
      <c r="BQ29" s="845"/>
      <c r="BR29" s="845"/>
      <c r="BS29" s="845"/>
      <c r="BT29" s="845"/>
      <c r="BU29" s="845"/>
      <c r="BV29" s="845"/>
      <c r="BW29" s="845"/>
      <c r="BX29" s="845"/>
      <c r="BY29" s="845"/>
      <c r="BZ29" s="845"/>
      <c r="CA29" s="845"/>
    </row>
    <row r="30" spans="1:79" s="851" customFormat="1" ht="7.5" customHeight="1">
      <c r="A30" s="847"/>
      <c r="B30" s="847"/>
      <c r="C30" s="848"/>
      <c r="D30" s="848"/>
      <c r="E30" s="849"/>
      <c r="F30" s="849"/>
      <c r="G30" s="849"/>
      <c r="H30" s="849"/>
      <c r="I30" s="849"/>
      <c r="J30" s="849"/>
      <c r="K30" s="849"/>
      <c r="L30" s="849"/>
      <c r="M30" s="849"/>
      <c r="N30" s="849"/>
      <c r="O30" s="849"/>
      <c r="P30" s="849"/>
      <c r="Q30" s="849"/>
      <c r="R30" s="849"/>
      <c r="S30" s="849"/>
      <c r="T30" s="849"/>
      <c r="U30" s="849"/>
      <c r="V30" s="849"/>
      <c r="W30" s="850"/>
      <c r="X30" s="850"/>
      <c r="Y30" s="850"/>
      <c r="Z30" s="850"/>
      <c r="AA30" s="850"/>
      <c r="AB30" s="850"/>
      <c r="AC30" s="850"/>
      <c r="AD30" s="850"/>
      <c r="AE30" s="850"/>
      <c r="AF30" s="850"/>
      <c r="AG30" s="850"/>
      <c r="AH30" s="850"/>
      <c r="AI30" s="850"/>
      <c r="AJ30" s="850"/>
      <c r="AK30" s="850"/>
      <c r="AL30" s="850"/>
      <c r="AM30" s="850"/>
      <c r="AN30" s="850"/>
      <c r="AO30" s="850"/>
      <c r="AP30" s="850"/>
      <c r="AQ30" s="850"/>
      <c r="AR30" s="850"/>
      <c r="AS30" s="850"/>
      <c r="AT30" s="850"/>
      <c r="AU30" s="850"/>
      <c r="AV30" s="850"/>
      <c r="AW30" s="850"/>
      <c r="AX30" s="850"/>
      <c r="AY30" s="850"/>
      <c r="AZ30" s="850"/>
      <c r="BA30" s="850"/>
      <c r="BB30" s="850"/>
      <c r="BC30" s="850"/>
      <c r="BD30" s="850"/>
      <c r="BE30" s="850"/>
      <c r="BF30" s="850"/>
      <c r="BG30" s="850"/>
      <c r="BH30" s="850"/>
      <c r="BI30" s="850"/>
      <c r="BJ30" s="850"/>
      <c r="BK30" s="850"/>
      <c r="BL30" s="850"/>
      <c r="BM30" s="850"/>
      <c r="BN30" s="850"/>
      <c r="BO30" s="850"/>
      <c r="BP30" s="850"/>
      <c r="BQ30" s="850"/>
      <c r="BR30" s="850"/>
      <c r="BS30" s="850"/>
      <c r="BT30" s="850"/>
      <c r="BU30" s="850"/>
      <c r="BV30" s="850"/>
      <c r="BW30" s="850"/>
      <c r="BX30" s="850"/>
      <c r="BY30" s="850"/>
      <c r="BZ30" s="850"/>
      <c r="CA30" s="850"/>
    </row>
    <row r="31" spans="1:79" s="846" customFormat="1" ht="12.75" customHeight="1">
      <c r="A31" s="841">
        <v>4</v>
      </c>
      <c r="B31" s="842" t="s">
        <v>1033</v>
      </c>
      <c r="C31" s="843"/>
      <c r="D31" s="843"/>
      <c r="E31" s="844">
        <v>53.2</v>
      </c>
      <c r="F31" s="844">
        <v>56.8</v>
      </c>
      <c r="G31" s="844"/>
      <c r="H31" s="844">
        <v>47.3</v>
      </c>
      <c r="I31" s="844">
        <v>60.8</v>
      </c>
      <c r="J31" s="844"/>
      <c r="K31" s="844">
        <v>85.3</v>
      </c>
      <c r="L31" s="844">
        <v>95.7</v>
      </c>
      <c r="M31" s="844"/>
      <c r="N31" s="844">
        <v>115.8</v>
      </c>
      <c r="O31" s="844">
        <v>121.2</v>
      </c>
      <c r="P31" s="844"/>
      <c r="Q31" s="844">
        <v>89.4</v>
      </c>
      <c r="R31" s="844">
        <v>103.4</v>
      </c>
      <c r="S31" s="844">
        <v>119</v>
      </c>
      <c r="T31" s="844"/>
      <c r="U31" s="844">
        <v>105</v>
      </c>
      <c r="V31" s="844">
        <v>127.1</v>
      </c>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5"/>
      <c r="AY31" s="845"/>
      <c r="AZ31" s="845"/>
      <c r="BA31" s="845"/>
      <c r="BB31" s="845"/>
      <c r="BC31" s="845"/>
      <c r="BD31" s="845"/>
      <c r="BE31" s="845"/>
      <c r="BF31" s="845"/>
      <c r="BG31" s="845"/>
      <c r="BH31" s="845"/>
      <c r="BI31" s="845"/>
      <c r="BJ31" s="845"/>
      <c r="BK31" s="845"/>
      <c r="BL31" s="845"/>
      <c r="BM31" s="845"/>
      <c r="BN31" s="845"/>
      <c r="BO31" s="845"/>
      <c r="BP31" s="845"/>
      <c r="BQ31" s="845"/>
      <c r="BR31" s="845"/>
      <c r="BS31" s="845"/>
      <c r="BT31" s="845"/>
      <c r="BU31" s="845"/>
      <c r="BV31" s="845"/>
      <c r="BW31" s="845"/>
      <c r="BX31" s="845"/>
      <c r="BY31" s="845"/>
      <c r="BZ31" s="845"/>
      <c r="CA31" s="845"/>
    </row>
    <row r="32" spans="1:79" s="851" customFormat="1" ht="7.5" customHeight="1">
      <c r="A32" s="847"/>
      <c r="B32" s="847"/>
      <c r="C32" s="848"/>
      <c r="D32" s="848"/>
      <c r="E32" s="849"/>
      <c r="F32" s="849"/>
      <c r="G32" s="849"/>
      <c r="H32" s="849"/>
      <c r="I32" s="849"/>
      <c r="J32" s="849"/>
      <c r="K32" s="849"/>
      <c r="L32" s="849"/>
      <c r="M32" s="849"/>
      <c r="N32" s="849"/>
      <c r="O32" s="849"/>
      <c r="P32" s="849"/>
      <c r="Q32" s="849"/>
      <c r="R32" s="849"/>
      <c r="S32" s="849"/>
      <c r="T32" s="849"/>
      <c r="U32" s="849"/>
      <c r="V32" s="849"/>
      <c r="W32" s="850"/>
      <c r="X32" s="850"/>
      <c r="Y32" s="850"/>
      <c r="Z32" s="850"/>
      <c r="AA32" s="850"/>
      <c r="AB32" s="850"/>
      <c r="AC32" s="850"/>
      <c r="AD32" s="850"/>
      <c r="AE32" s="850"/>
      <c r="AF32" s="850"/>
      <c r="AG32" s="850"/>
      <c r="AH32" s="850"/>
      <c r="AI32" s="850"/>
      <c r="AJ32" s="850"/>
      <c r="AK32" s="850"/>
      <c r="AL32" s="850"/>
      <c r="AM32" s="850"/>
      <c r="AN32" s="850"/>
      <c r="AO32" s="850"/>
      <c r="AP32" s="850"/>
      <c r="AQ32" s="850"/>
      <c r="AR32" s="850"/>
      <c r="AS32" s="850"/>
      <c r="AT32" s="850"/>
      <c r="AU32" s="850"/>
      <c r="AV32" s="850"/>
      <c r="AW32" s="850"/>
      <c r="AX32" s="850"/>
      <c r="AY32" s="850"/>
      <c r="AZ32" s="850"/>
      <c r="BA32" s="850"/>
      <c r="BB32" s="850"/>
      <c r="BC32" s="850"/>
      <c r="BD32" s="850"/>
      <c r="BE32" s="850"/>
      <c r="BF32" s="850"/>
      <c r="BG32" s="850"/>
      <c r="BH32" s="850"/>
      <c r="BI32" s="850"/>
      <c r="BJ32" s="850"/>
      <c r="BK32" s="850"/>
      <c r="BL32" s="850"/>
      <c r="BM32" s="850"/>
      <c r="BN32" s="850"/>
      <c r="BO32" s="850"/>
      <c r="BP32" s="850"/>
      <c r="BQ32" s="850"/>
      <c r="BR32" s="850"/>
      <c r="BS32" s="850"/>
      <c r="BT32" s="850"/>
      <c r="BU32" s="850"/>
      <c r="BV32" s="850"/>
      <c r="BW32" s="850"/>
      <c r="BX32" s="850"/>
      <c r="BY32" s="850"/>
      <c r="BZ32" s="850"/>
      <c r="CA32" s="850"/>
    </row>
    <row r="33" spans="1:79" s="846" customFormat="1" ht="12.75" customHeight="1">
      <c r="A33" s="841">
        <v>5</v>
      </c>
      <c r="B33" s="842" t="s">
        <v>987</v>
      </c>
      <c r="C33" s="843"/>
      <c r="D33" s="843"/>
      <c r="E33" s="844">
        <v>13.4</v>
      </c>
      <c r="F33" s="844">
        <v>37.799999999999997</v>
      </c>
      <c r="G33" s="844"/>
      <c r="H33" s="844">
        <v>22.7</v>
      </c>
      <c r="I33" s="844">
        <v>37.4</v>
      </c>
      <c r="J33" s="844"/>
      <c r="K33" s="844">
        <v>24.3</v>
      </c>
      <c r="L33" s="844">
        <v>40.6</v>
      </c>
      <c r="M33" s="844"/>
      <c r="N33" s="844">
        <v>24.4</v>
      </c>
      <c r="O33" s="844">
        <v>14.7</v>
      </c>
      <c r="P33" s="844"/>
      <c r="Q33" s="844">
        <v>39.799999999999997</v>
      </c>
      <c r="R33" s="844">
        <v>40.299999999999997</v>
      </c>
      <c r="S33" s="844">
        <v>33.200000000000003</v>
      </c>
      <c r="T33" s="844"/>
      <c r="U33" s="844">
        <v>50.8</v>
      </c>
      <c r="V33" s="844">
        <v>42.4</v>
      </c>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5"/>
      <c r="AY33" s="845"/>
      <c r="AZ33" s="845"/>
      <c r="BA33" s="845"/>
      <c r="BB33" s="845"/>
      <c r="BC33" s="845"/>
      <c r="BD33" s="845"/>
      <c r="BE33" s="845"/>
      <c r="BF33" s="845"/>
      <c r="BG33" s="845"/>
      <c r="BH33" s="845"/>
      <c r="BI33" s="845"/>
      <c r="BJ33" s="845"/>
      <c r="BK33" s="845"/>
      <c r="BL33" s="845"/>
      <c r="BM33" s="845"/>
      <c r="BN33" s="845"/>
      <c r="BO33" s="845"/>
      <c r="BP33" s="845"/>
      <c r="BQ33" s="845"/>
      <c r="BR33" s="845"/>
      <c r="BS33" s="845"/>
      <c r="BT33" s="845"/>
      <c r="BU33" s="845"/>
      <c r="BV33" s="845"/>
      <c r="BW33" s="845"/>
      <c r="BX33" s="845"/>
      <c r="BY33" s="845"/>
      <c r="BZ33" s="845"/>
      <c r="CA33" s="845"/>
    </row>
    <row r="34" spans="1:79" s="851" customFormat="1" ht="7.5" customHeight="1">
      <c r="A34" s="847"/>
      <c r="B34" s="847"/>
      <c r="C34" s="848"/>
      <c r="D34" s="848"/>
      <c r="E34" s="849"/>
      <c r="F34" s="849"/>
      <c r="G34" s="849"/>
      <c r="H34" s="849"/>
      <c r="I34" s="849"/>
      <c r="J34" s="849"/>
      <c r="K34" s="849"/>
      <c r="L34" s="849"/>
      <c r="M34" s="849"/>
      <c r="N34" s="849"/>
      <c r="O34" s="849"/>
      <c r="P34" s="849"/>
      <c r="Q34" s="849"/>
      <c r="R34" s="849"/>
      <c r="S34" s="849"/>
      <c r="T34" s="849"/>
      <c r="U34" s="849"/>
      <c r="V34" s="849"/>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0"/>
      <c r="AY34" s="850"/>
      <c r="AZ34" s="850"/>
      <c r="BA34" s="850"/>
      <c r="BB34" s="850"/>
      <c r="BC34" s="850"/>
      <c r="BD34" s="850"/>
      <c r="BE34" s="850"/>
      <c r="BF34" s="850"/>
      <c r="BG34" s="850"/>
      <c r="BH34" s="850"/>
      <c r="BI34" s="850"/>
      <c r="BJ34" s="850"/>
      <c r="BK34" s="850"/>
      <c r="BL34" s="850"/>
      <c r="BM34" s="850"/>
      <c r="BN34" s="850"/>
      <c r="BO34" s="850"/>
      <c r="BP34" s="850"/>
      <c r="BQ34" s="850"/>
      <c r="BR34" s="850"/>
      <c r="BS34" s="850"/>
      <c r="BT34" s="850"/>
      <c r="BU34" s="850"/>
      <c r="BV34" s="850"/>
      <c r="BW34" s="850"/>
      <c r="BX34" s="850"/>
      <c r="BY34" s="850"/>
      <c r="BZ34" s="850"/>
      <c r="CA34" s="850"/>
    </row>
    <row r="35" spans="1:79" s="846" customFormat="1" ht="12.75" customHeight="1">
      <c r="A35" s="841">
        <v>6</v>
      </c>
      <c r="B35" s="842" t="s">
        <v>65</v>
      </c>
      <c r="C35" s="843"/>
      <c r="D35" s="843"/>
      <c r="E35" s="844">
        <v>6.6</v>
      </c>
      <c r="F35" s="844">
        <v>10.5</v>
      </c>
      <c r="G35" s="844"/>
      <c r="H35" s="844">
        <v>7.2</v>
      </c>
      <c r="I35" s="844">
        <v>17</v>
      </c>
      <c r="J35" s="844"/>
      <c r="K35" s="844">
        <v>4.4000000000000004</v>
      </c>
      <c r="L35" s="844">
        <v>9</v>
      </c>
      <c r="M35" s="844"/>
      <c r="N35" s="844">
        <v>4.5</v>
      </c>
      <c r="O35" s="844">
        <v>4.2</v>
      </c>
      <c r="P35" s="844"/>
      <c r="Q35" s="844">
        <v>8</v>
      </c>
      <c r="R35" s="844">
        <v>7.3</v>
      </c>
      <c r="S35" s="844">
        <v>7.9</v>
      </c>
      <c r="T35" s="844"/>
      <c r="U35" s="844">
        <v>16.899999999999999</v>
      </c>
      <c r="V35" s="844">
        <v>10.199999999999999</v>
      </c>
      <c r="W35" s="845"/>
      <c r="X35" s="845"/>
      <c r="Y35" s="845"/>
      <c r="Z35" s="845"/>
      <c r="AA35" s="845"/>
      <c r="AB35" s="845"/>
      <c r="AC35" s="845"/>
      <c r="AD35" s="845"/>
      <c r="AE35" s="845"/>
      <c r="AF35" s="845"/>
      <c r="AG35" s="845"/>
      <c r="AH35" s="845"/>
      <c r="AI35" s="845"/>
      <c r="AJ35" s="845"/>
      <c r="AK35" s="845"/>
      <c r="AL35" s="845"/>
      <c r="AM35" s="845"/>
      <c r="AN35" s="845"/>
      <c r="AO35" s="845"/>
      <c r="AP35" s="845"/>
      <c r="AQ35" s="845"/>
      <c r="AR35" s="845"/>
      <c r="AS35" s="845"/>
      <c r="AT35" s="845"/>
      <c r="AU35" s="845"/>
      <c r="AV35" s="845"/>
      <c r="AW35" s="845"/>
      <c r="AX35" s="845"/>
      <c r="AY35" s="845"/>
      <c r="AZ35" s="845"/>
      <c r="BA35" s="845"/>
      <c r="BB35" s="845"/>
      <c r="BC35" s="845"/>
      <c r="BD35" s="845"/>
      <c r="BE35" s="845"/>
      <c r="BF35" s="845"/>
      <c r="BG35" s="845"/>
      <c r="BH35" s="845"/>
      <c r="BI35" s="845"/>
      <c r="BJ35" s="845"/>
      <c r="BK35" s="845"/>
      <c r="BL35" s="845"/>
      <c r="BM35" s="845"/>
      <c r="BN35" s="845"/>
      <c r="BO35" s="845"/>
      <c r="BP35" s="845"/>
      <c r="BQ35" s="845"/>
      <c r="BR35" s="845"/>
      <c r="BS35" s="845"/>
      <c r="BT35" s="845"/>
      <c r="BU35" s="845"/>
      <c r="BV35" s="845"/>
      <c r="BW35" s="845"/>
      <c r="BX35" s="845"/>
      <c r="BY35" s="845"/>
      <c r="BZ35" s="845"/>
      <c r="CA35" s="845"/>
    </row>
    <row r="36" spans="1:79" s="851" customFormat="1" ht="7.5" customHeight="1">
      <c r="A36" s="847"/>
      <c r="B36" s="847"/>
      <c r="C36" s="848"/>
      <c r="D36" s="848"/>
      <c r="E36" s="849"/>
      <c r="F36" s="849"/>
      <c r="G36" s="849"/>
      <c r="H36" s="849"/>
      <c r="I36" s="849"/>
      <c r="J36" s="849"/>
      <c r="K36" s="849"/>
      <c r="L36" s="849"/>
      <c r="M36" s="849"/>
      <c r="N36" s="849"/>
      <c r="O36" s="849"/>
      <c r="P36" s="849"/>
      <c r="Q36" s="849"/>
      <c r="R36" s="849"/>
      <c r="S36" s="849"/>
      <c r="T36" s="849"/>
      <c r="U36" s="849"/>
      <c r="V36" s="849"/>
      <c r="W36" s="850"/>
      <c r="X36" s="850"/>
      <c r="Y36" s="850"/>
      <c r="Z36" s="850"/>
      <c r="AA36" s="850"/>
      <c r="AB36" s="850"/>
      <c r="AC36" s="850"/>
      <c r="AD36" s="850"/>
      <c r="AE36" s="850"/>
      <c r="AF36" s="850"/>
      <c r="AG36" s="850"/>
      <c r="AH36" s="850"/>
      <c r="AI36" s="850"/>
      <c r="AJ36" s="850"/>
      <c r="AK36" s="850"/>
      <c r="AL36" s="850"/>
      <c r="AM36" s="850"/>
      <c r="AN36" s="850"/>
      <c r="AO36" s="850"/>
      <c r="AP36" s="850"/>
      <c r="AQ36" s="850"/>
      <c r="AR36" s="850"/>
      <c r="AS36" s="850"/>
      <c r="AT36" s="850"/>
      <c r="AU36" s="850"/>
      <c r="AV36" s="850"/>
      <c r="AW36" s="850"/>
      <c r="AX36" s="850"/>
      <c r="AY36" s="850"/>
      <c r="AZ36" s="850"/>
      <c r="BA36" s="850"/>
      <c r="BB36" s="850"/>
      <c r="BC36" s="850"/>
      <c r="BD36" s="850"/>
      <c r="BE36" s="850"/>
      <c r="BF36" s="850"/>
      <c r="BG36" s="850"/>
      <c r="BH36" s="850"/>
      <c r="BI36" s="850"/>
      <c r="BJ36" s="850"/>
      <c r="BK36" s="850"/>
      <c r="BL36" s="850"/>
      <c r="BM36" s="850"/>
      <c r="BN36" s="850"/>
      <c r="BO36" s="850"/>
      <c r="BP36" s="850"/>
      <c r="BQ36" s="850"/>
      <c r="BR36" s="850"/>
      <c r="BS36" s="850"/>
      <c r="BT36" s="850"/>
      <c r="BU36" s="850"/>
      <c r="BV36" s="850"/>
      <c r="BW36" s="850"/>
      <c r="BX36" s="850"/>
      <c r="BY36" s="850"/>
      <c r="BZ36" s="850"/>
      <c r="CA36" s="850"/>
    </row>
    <row r="37" spans="1:79" s="846" customFormat="1" ht="12.75" customHeight="1">
      <c r="A37" s="841">
        <v>7</v>
      </c>
      <c r="B37" s="842" t="s">
        <v>69</v>
      </c>
      <c r="C37" s="843"/>
      <c r="D37" s="843"/>
      <c r="E37" s="844">
        <v>11.9</v>
      </c>
      <c r="F37" s="844">
        <v>41.7</v>
      </c>
      <c r="G37" s="844"/>
      <c r="H37" s="844">
        <v>24.9</v>
      </c>
      <c r="I37" s="844">
        <v>62</v>
      </c>
      <c r="J37" s="844"/>
      <c r="K37" s="844">
        <v>42.8</v>
      </c>
      <c r="L37" s="844">
        <v>89.3</v>
      </c>
      <c r="M37" s="844"/>
      <c r="N37" s="844">
        <v>32.200000000000003</v>
      </c>
      <c r="O37" s="844">
        <v>47.7</v>
      </c>
      <c r="P37" s="844"/>
      <c r="Q37" s="844">
        <v>109</v>
      </c>
      <c r="R37" s="844">
        <v>107.3</v>
      </c>
      <c r="S37" s="844">
        <v>88.2</v>
      </c>
      <c r="T37" s="844"/>
      <c r="U37" s="844">
        <v>125.7</v>
      </c>
      <c r="V37" s="844">
        <v>113.1</v>
      </c>
      <c r="W37" s="845"/>
      <c r="X37" s="845"/>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5"/>
      <c r="AY37" s="845"/>
      <c r="AZ37" s="845"/>
      <c r="BA37" s="845"/>
      <c r="BB37" s="845"/>
      <c r="BC37" s="845"/>
      <c r="BD37" s="845"/>
      <c r="BE37" s="845"/>
      <c r="BF37" s="845"/>
      <c r="BG37" s="845"/>
      <c r="BH37" s="845"/>
      <c r="BI37" s="845"/>
      <c r="BJ37" s="845"/>
      <c r="BK37" s="845"/>
      <c r="BL37" s="845"/>
      <c r="BM37" s="845"/>
      <c r="BN37" s="845"/>
      <c r="BO37" s="845"/>
      <c r="BP37" s="845"/>
      <c r="BQ37" s="845"/>
      <c r="BR37" s="845"/>
      <c r="BS37" s="845"/>
      <c r="BT37" s="845"/>
      <c r="BU37" s="845"/>
      <c r="BV37" s="845"/>
      <c r="BW37" s="845"/>
      <c r="BX37" s="845"/>
      <c r="BY37" s="845"/>
      <c r="BZ37" s="845"/>
      <c r="CA37" s="845"/>
    </row>
    <row r="38" spans="1:79" s="851" customFormat="1" ht="7.5" customHeight="1">
      <c r="A38" s="847"/>
      <c r="B38" s="847"/>
      <c r="C38" s="848"/>
      <c r="D38" s="848"/>
      <c r="E38" s="849"/>
      <c r="F38" s="849"/>
      <c r="G38" s="849"/>
      <c r="H38" s="849"/>
      <c r="I38" s="849"/>
      <c r="J38" s="849"/>
      <c r="K38" s="849"/>
      <c r="L38" s="849"/>
      <c r="M38" s="849"/>
      <c r="N38" s="849"/>
      <c r="O38" s="849"/>
      <c r="P38" s="849"/>
      <c r="Q38" s="849"/>
      <c r="R38" s="849"/>
      <c r="S38" s="849"/>
      <c r="T38" s="849"/>
      <c r="U38" s="849"/>
      <c r="V38" s="849"/>
      <c r="W38" s="850"/>
      <c r="X38" s="850"/>
      <c r="Y38" s="850"/>
      <c r="Z38" s="850"/>
      <c r="AA38" s="850"/>
      <c r="AB38" s="850"/>
      <c r="AC38" s="850"/>
      <c r="AD38" s="850"/>
      <c r="AE38" s="850"/>
      <c r="AF38" s="850"/>
      <c r="AG38" s="850"/>
      <c r="AH38" s="850"/>
      <c r="AI38" s="850"/>
      <c r="AJ38" s="850"/>
      <c r="AK38" s="850"/>
      <c r="AL38" s="850"/>
      <c r="AM38" s="850"/>
      <c r="AN38" s="850"/>
      <c r="AO38" s="850"/>
      <c r="AP38" s="850"/>
      <c r="AQ38" s="850"/>
      <c r="AR38" s="850"/>
      <c r="AS38" s="850"/>
      <c r="AT38" s="850"/>
      <c r="AU38" s="850"/>
      <c r="AV38" s="850"/>
      <c r="AW38" s="850"/>
      <c r="AX38" s="850"/>
      <c r="AY38" s="850"/>
      <c r="AZ38" s="850"/>
      <c r="BA38" s="850"/>
      <c r="BB38" s="850"/>
      <c r="BC38" s="850"/>
      <c r="BD38" s="850"/>
      <c r="BE38" s="850"/>
      <c r="BF38" s="850"/>
      <c r="BG38" s="850"/>
      <c r="BH38" s="850"/>
      <c r="BI38" s="850"/>
      <c r="BJ38" s="850"/>
      <c r="BK38" s="850"/>
      <c r="BL38" s="850"/>
      <c r="BM38" s="850"/>
      <c r="BN38" s="850"/>
      <c r="BO38" s="850"/>
      <c r="BP38" s="850"/>
      <c r="BQ38" s="850"/>
      <c r="BR38" s="850"/>
      <c r="BS38" s="850"/>
      <c r="BT38" s="850"/>
      <c r="BU38" s="850"/>
      <c r="BV38" s="850"/>
      <c r="BW38" s="850"/>
      <c r="BX38" s="850"/>
      <c r="BY38" s="850"/>
      <c r="BZ38" s="850"/>
      <c r="CA38" s="850"/>
    </row>
    <row r="39" spans="1:79" s="846" customFormat="1" ht="12.75" customHeight="1">
      <c r="A39" s="841">
        <v>8</v>
      </c>
      <c r="B39" s="842" t="s">
        <v>84</v>
      </c>
      <c r="C39" s="843"/>
      <c r="D39" s="843"/>
      <c r="E39" s="844">
        <v>10.9</v>
      </c>
      <c r="F39" s="844">
        <v>14</v>
      </c>
      <c r="G39" s="844"/>
      <c r="H39" s="844">
        <v>12.6</v>
      </c>
      <c r="I39" s="844">
        <v>20.399999999999999</v>
      </c>
      <c r="J39" s="844"/>
      <c r="K39" s="844">
        <v>14.7</v>
      </c>
      <c r="L39" s="844">
        <v>22.4</v>
      </c>
      <c r="M39" s="844"/>
      <c r="N39" s="844">
        <v>16.2</v>
      </c>
      <c r="O39" s="844">
        <v>18.7</v>
      </c>
      <c r="P39" s="844"/>
      <c r="Q39" s="844">
        <v>25.6</v>
      </c>
      <c r="R39" s="844">
        <v>26.3</v>
      </c>
      <c r="S39" s="844">
        <v>31.6</v>
      </c>
      <c r="T39" s="844"/>
      <c r="U39" s="844">
        <v>30.8</v>
      </c>
      <c r="V39" s="844">
        <v>31.5</v>
      </c>
      <c r="W39" s="845"/>
      <c r="X39" s="845"/>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5"/>
      <c r="AY39" s="845"/>
      <c r="AZ39" s="845"/>
      <c r="BA39" s="845"/>
      <c r="BB39" s="845"/>
      <c r="BC39" s="845"/>
      <c r="BD39" s="845"/>
      <c r="BE39" s="845"/>
      <c r="BF39" s="845"/>
      <c r="BG39" s="845"/>
      <c r="BH39" s="845"/>
      <c r="BI39" s="845"/>
      <c r="BJ39" s="845"/>
      <c r="BK39" s="845"/>
      <c r="BL39" s="845"/>
      <c r="BM39" s="845"/>
      <c r="BN39" s="845"/>
      <c r="BO39" s="845"/>
      <c r="BP39" s="845"/>
      <c r="BQ39" s="845"/>
      <c r="BR39" s="845"/>
      <c r="BS39" s="845"/>
      <c r="BT39" s="845"/>
      <c r="BU39" s="845"/>
      <c r="BV39" s="845"/>
      <c r="BW39" s="845"/>
      <c r="BX39" s="845"/>
      <c r="BY39" s="845"/>
      <c r="BZ39" s="845"/>
      <c r="CA39" s="845"/>
    </row>
    <row r="40" spans="1:79" s="851" customFormat="1" ht="7.5" customHeight="1">
      <c r="A40" s="847"/>
      <c r="B40" s="847"/>
      <c r="C40" s="848"/>
      <c r="D40" s="848"/>
      <c r="E40" s="849"/>
      <c r="F40" s="849"/>
      <c r="G40" s="849"/>
      <c r="H40" s="849"/>
      <c r="I40" s="849"/>
      <c r="J40" s="849"/>
      <c r="K40" s="849"/>
      <c r="L40" s="849"/>
      <c r="M40" s="849"/>
      <c r="N40" s="849"/>
      <c r="O40" s="849"/>
      <c r="P40" s="849"/>
      <c r="Q40" s="849"/>
      <c r="R40" s="849"/>
      <c r="S40" s="849"/>
      <c r="T40" s="849"/>
      <c r="U40" s="849"/>
      <c r="V40" s="849"/>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0"/>
      <c r="AY40" s="850"/>
      <c r="AZ40" s="850"/>
      <c r="BA40" s="850"/>
      <c r="BB40" s="850"/>
      <c r="BC40" s="850"/>
      <c r="BD40" s="850"/>
      <c r="BE40" s="850"/>
      <c r="BF40" s="850"/>
      <c r="BG40" s="850"/>
      <c r="BH40" s="850"/>
      <c r="BI40" s="850"/>
      <c r="BJ40" s="850"/>
      <c r="BK40" s="850"/>
      <c r="BL40" s="850"/>
      <c r="BM40" s="850"/>
      <c r="BN40" s="850"/>
      <c r="BO40" s="850"/>
      <c r="BP40" s="850"/>
      <c r="BQ40" s="850"/>
      <c r="BR40" s="850"/>
      <c r="BS40" s="850"/>
      <c r="BT40" s="850"/>
      <c r="BU40" s="850"/>
      <c r="BV40" s="850"/>
      <c r="BW40" s="850"/>
      <c r="BX40" s="850"/>
      <c r="BY40" s="850"/>
      <c r="BZ40" s="850"/>
      <c r="CA40" s="850"/>
    </row>
    <row r="41" spans="1:79" s="846" customFormat="1" ht="12.75" customHeight="1">
      <c r="A41" s="841">
        <v>9</v>
      </c>
      <c r="B41" s="842" t="s">
        <v>989</v>
      </c>
      <c r="C41" s="843"/>
      <c r="D41" s="843"/>
      <c r="E41" s="844">
        <v>17.7</v>
      </c>
      <c r="F41" s="844">
        <v>42.8</v>
      </c>
      <c r="G41" s="844"/>
      <c r="H41" s="844">
        <v>26.6</v>
      </c>
      <c r="I41" s="844">
        <v>64.900000000000006</v>
      </c>
      <c r="J41" s="844"/>
      <c r="K41" s="844">
        <v>35.200000000000003</v>
      </c>
      <c r="L41" s="844">
        <v>64.5</v>
      </c>
      <c r="M41" s="844"/>
      <c r="N41" s="844">
        <v>37.200000000000003</v>
      </c>
      <c r="O41" s="844">
        <v>36.299999999999997</v>
      </c>
      <c r="P41" s="844"/>
      <c r="Q41" s="844">
        <v>67</v>
      </c>
      <c r="R41" s="844">
        <v>81.099999999999994</v>
      </c>
      <c r="S41" s="844">
        <v>83.8</v>
      </c>
      <c r="T41" s="844"/>
      <c r="U41" s="844">
        <v>70</v>
      </c>
      <c r="V41" s="844">
        <v>68.599999999999994</v>
      </c>
      <c r="W41" s="845"/>
      <c r="X41" s="845"/>
      <c r="Y41" s="845"/>
      <c r="Z41" s="845"/>
      <c r="AA41" s="845"/>
      <c r="AB41" s="845"/>
      <c r="AC41" s="845"/>
      <c r="AD41" s="845"/>
      <c r="AE41" s="845"/>
      <c r="AF41" s="845"/>
      <c r="AG41" s="845"/>
      <c r="AH41" s="845"/>
      <c r="AI41" s="845"/>
      <c r="AJ41" s="845"/>
      <c r="AK41" s="845"/>
      <c r="AL41" s="845"/>
      <c r="AM41" s="845"/>
      <c r="AN41" s="845"/>
      <c r="AO41" s="845"/>
      <c r="AP41" s="845"/>
      <c r="AQ41" s="845"/>
      <c r="AR41" s="845"/>
      <c r="AS41" s="845"/>
      <c r="AT41" s="845"/>
      <c r="AU41" s="845"/>
      <c r="AV41" s="845"/>
      <c r="AW41" s="845"/>
      <c r="AX41" s="845"/>
      <c r="AY41" s="845"/>
      <c r="AZ41" s="845"/>
      <c r="BA41" s="845"/>
      <c r="BB41" s="845"/>
      <c r="BC41" s="845"/>
      <c r="BD41" s="845"/>
      <c r="BE41" s="845"/>
      <c r="BF41" s="845"/>
      <c r="BG41" s="845"/>
      <c r="BH41" s="845"/>
      <c r="BI41" s="845"/>
      <c r="BJ41" s="845"/>
      <c r="BK41" s="845"/>
      <c r="BL41" s="845"/>
      <c r="BM41" s="845"/>
      <c r="BN41" s="845"/>
      <c r="BO41" s="845"/>
      <c r="BP41" s="845"/>
      <c r="BQ41" s="845"/>
      <c r="BR41" s="845"/>
      <c r="BS41" s="845"/>
      <c r="BT41" s="845"/>
      <c r="BU41" s="845"/>
      <c r="BV41" s="845"/>
      <c r="BW41" s="845"/>
      <c r="BX41" s="845"/>
      <c r="BY41" s="845"/>
      <c r="BZ41" s="845"/>
      <c r="CA41" s="845"/>
    </row>
    <row r="42" spans="1:79" s="851" customFormat="1" ht="7.5" customHeight="1">
      <c r="A42" s="847"/>
      <c r="B42" s="847"/>
      <c r="C42" s="848"/>
      <c r="D42" s="848"/>
      <c r="E42" s="849"/>
      <c r="F42" s="849"/>
      <c r="G42" s="849"/>
      <c r="H42" s="849"/>
      <c r="I42" s="849"/>
      <c r="J42" s="849"/>
      <c r="K42" s="849"/>
      <c r="L42" s="849"/>
      <c r="M42" s="849"/>
      <c r="N42" s="849"/>
      <c r="O42" s="849"/>
      <c r="P42" s="849"/>
      <c r="Q42" s="849"/>
      <c r="R42" s="849"/>
      <c r="S42" s="849"/>
      <c r="T42" s="849"/>
      <c r="U42" s="849"/>
      <c r="V42" s="849"/>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c r="AT42" s="850"/>
      <c r="AU42" s="850"/>
      <c r="AV42" s="850"/>
      <c r="AW42" s="850"/>
      <c r="AX42" s="850"/>
      <c r="AY42" s="850"/>
      <c r="AZ42" s="850"/>
      <c r="BA42" s="850"/>
      <c r="BB42" s="850"/>
      <c r="BC42" s="850"/>
      <c r="BD42" s="850"/>
      <c r="BE42" s="850"/>
      <c r="BF42" s="850"/>
      <c r="BG42" s="850"/>
      <c r="BH42" s="850"/>
      <c r="BI42" s="850"/>
      <c r="BJ42" s="850"/>
      <c r="BK42" s="850"/>
      <c r="BL42" s="850"/>
      <c r="BM42" s="850"/>
      <c r="BN42" s="850"/>
      <c r="BO42" s="850"/>
      <c r="BP42" s="850"/>
      <c r="BQ42" s="850"/>
      <c r="BR42" s="850"/>
      <c r="BS42" s="850"/>
      <c r="BT42" s="850"/>
      <c r="BU42" s="850"/>
      <c r="BV42" s="850"/>
      <c r="BW42" s="850"/>
      <c r="BX42" s="850"/>
      <c r="BY42" s="850"/>
      <c r="BZ42" s="850"/>
      <c r="CA42" s="850"/>
    </row>
    <row r="43" spans="1:79" s="846" customFormat="1" ht="12.75" customHeight="1">
      <c r="A43" s="841">
        <v>10</v>
      </c>
      <c r="B43" s="842" t="s">
        <v>1034</v>
      </c>
      <c r="C43" s="843"/>
      <c r="D43" s="843"/>
      <c r="E43" s="844" t="s">
        <v>1035</v>
      </c>
      <c r="F43" s="844" t="s">
        <v>1035</v>
      </c>
      <c r="G43" s="844"/>
      <c r="H43" s="844" t="s">
        <v>1036</v>
      </c>
      <c r="I43" s="844" t="s">
        <v>1036</v>
      </c>
      <c r="J43" s="844"/>
      <c r="K43" s="844">
        <v>3.9</v>
      </c>
      <c r="L43" s="844">
        <v>1.5</v>
      </c>
      <c r="M43" s="844"/>
      <c r="N43" s="844" t="s">
        <v>1037</v>
      </c>
      <c r="O43" s="844" t="s">
        <v>1036</v>
      </c>
      <c r="P43" s="844"/>
      <c r="Q43" s="844">
        <v>10.7</v>
      </c>
      <c r="R43" s="844">
        <v>8.8000000000000007</v>
      </c>
      <c r="S43" s="844" t="s">
        <v>1038</v>
      </c>
      <c r="T43" s="844"/>
      <c r="U43" s="844" t="s">
        <v>1039</v>
      </c>
      <c r="V43" s="844" t="s">
        <v>1040</v>
      </c>
      <c r="W43" s="845"/>
      <c r="X43" s="845"/>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45"/>
      <c r="AV43" s="845"/>
      <c r="AW43" s="845"/>
      <c r="AX43" s="845"/>
      <c r="AY43" s="845"/>
      <c r="AZ43" s="845"/>
      <c r="BA43" s="845"/>
      <c r="BB43" s="845"/>
      <c r="BC43" s="845"/>
      <c r="BD43" s="845"/>
      <c r="BE43" s="845"/>
      <c r="BF43" s="845"/>
      <c r="BG43" s="845"/>
      <c r="BH43" s="845"/>
      <c r="BI43" s="845"/>
      <c r="BJ43" s="845"/>
      <c r="BK43" s="845"/>
      <c r="BL43" s="845"/>
      <c r="BM43" s="845"/>
      <c r="BN43" s="845"/>
      <c r="BO43" s="845"/>
      <c r="BP43" s="845"/>
      <c r="BQ43" s="845"/>
      <c r="BR43" s="845"/>
      <c r="BS43" s="845"/>
      <c r="BT43" s="845"/>
      <c r="BU43" s="845"/>
      <c r="BV43" s="845"/>
      <c r="BW43" s="845"/>
      <c r="BX43" s="845"/>
      <c r="BY43" s="845"/>
      <c r="BZ43" s="845"/>
      <c r="CA43" s="845"/>
    </row>
    <row r="44" spans="1:79" s="851" customFormat="1" ht="7.5" customHeight="1">
      <c r="A44" s="847"/>
      <c r="B44" s="847"/>
      <c r="C44" s="848"/>
      <c r="D44" s="848"/>
      <c r="E44" s="849"/>
      <c r="F44" s="849"/>
      <c r="G44" s="849"/>
      <c r="H44" s="849"/>
      <c r="I44" s="849"/>
      <c r="J44" s="849"/>
      <c r="K44" s="849"/>
      <c r="L44" s="849"/>
      <c r="M44" s="849"/>
      <c r="N44" s="849"/>
      <c r="O44" s="849"/>
      <c r="P44" s="849"/>
      <c r="Q44" s="849"/>
      <c r="R44" s="849"/>
      <c r="S44" s="849"/>
      <c r="T44" s="849"/>
      <c r="U44" s="849"/>
      <c r="V44" s="849"/>
      <c r="W44" s="850"/>
      <c r="X44" s="850"/>
      <c r="Y44" s="850"/>
      <c r="Z44" s="850"/>
      <c r="AA44" s="850"/>
      <c r="AB44" s="850"/>
      <c r="AC44" s="850"/>
      <c r="AD44" s="850"/>
      <c r="AE44" s="850"/>
      <c r="AF44" s="850"/>
      <c r="AG44" s="850"/>
      <c r="AH44" s="850"/>
      <c r="AI44" s="850"/>
      <c r="AJ44" s="850"/>
      <c r="AK44" s="850"/>
      <c r="AL44" s="850"/>
      <c r="AM44" s="850"/>
      <c r="AN44" s="850"/>
      <c r="AO44" s="850"/>
      <c r="AP44" s="850"/>
      <c r="AQ44" s="850"/>
      <c r="AR44" s="850"/>
      <c r="AS44" s="850"/>
      <c r="AT44" s="850"/>
      <c r="AU44" s="850"/>
      <c r="AV44" s="850"/>
      <c r="AW44" s="850"/>
      <c r="AX44" s="850"/>
      <c r="AY44" s="850"/>
      <c r="AZ44" s="850"/>
      <c r="BA44" s="850"/>
      <c r="BB44" s="850"/>
      <c r="BC44" s="850"/>
      <c r="BD44" s="850"/>
      <c r="BE44" s="850"/>
      <c r="BF44" s="850"/>
      <c r="BG44" s="850"/>
      <c r="BH44" s="850"/>
      <c r="BI44" s="850"/>
      <c r="BJ44" s="850"/>
      <c r="BK44" s="850"/>
      <c r="BL44" s="850"/>
      <c r="BM44" s="850"/>
      <c r="BN44" s="850"/>
      <c r="BO44" s="850"/>
      <c r="BP44" s="850"/>
      <c r="BQ44" s="850"/>
      <c r="BR44" s="850"/>
      <c r="BS44" s="850"/>
      <c r="BT44" s="850"/>
      <c r="BU44" s="850"/>
      <c r="BV44" s="850"/>
      <c r="BW44" s="850"/>
      <c r="BX44" s="850"/>
      <c r="BY44" s="850"/>
      <c r="BZ44" s="850"/>
      <c r="CA44" s="850"/>
    </row>
    <row r="45" spans="1:79" s="846" customFormat="1" ht="12.75" customHeight="1">
      <c r="A45" s="841">
        <v>11</v>
      </c>
      <c r="B45" s="842" t="s">
        <v>1041</v>
      </c>
      <c r="C45" s="843"/>
      <c r="D45" s="843"/>
      <c r="E45" s="844">
        <v>7.8</v>
      </c>
      <c r="F45" s="844">
        <v>24.9</v>
      </c>
      <c r="G45" s="844"/>
      <c r="H45" s="844">
        <v>13.7</v>
      </c>
      <c r="I45" s="844">
        <v>34</v>
      </c>
      <c r="J45" s="844"/>
      <c r="K45" s="844">
        <v>20.3</v>
      </c>
      <c r="L45" s="844">
        <v>43.5</v>
      </c>
      <c r="M45" s="844"/>
      <c r="N45" s="844">
        <v>18.399999999999999</v>
      </c>
      <c r="O45" s="844">
        <v>25.6</v>
      </c>
      <c r="P45" s="844"/>
      <c r="Q45" s="844">
        <v>41.4</v>
      </c>
      <c r="R45" s="844">
        <v>48.4</v>
      </c>
      <c r="S45" s="844">
        <v>33.299999999999997</v>
      </c>
      <c r="T45" s="844"/>
      <c r="U45" s="844">
        <v>56.7</v>
      </c>
      <c r="V45" s="844">
        <v>49.2</v>
      </c>
      <c r="W45" s="845"/>
      <c r="X45" s="845"/>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845"/>
      <c r="AU45" s="845"/>
      <c r="AV45" s="845"/>
      <c r="AW45" s="845"/>
      <c r="AX45" s="845"/>
      <c r="AY45" s="845"/>
      <c r="AZ45" s="845"/>
      <c r="BA45" s="845"/>
      <c r="BB45" s="845"/>
      <c r="BC45" s="845"/>
      <c r="BD45" s="845"/>
      <c r="BE45" s="845"/>
      <c r="BF45" s="845"/>
      <c r="BG45" s="845"/>
      <c r="BH45" s="845"/>
      <c r="BI45" s="845"/>
      <c r="BJ45" s="845"/>
      <c r="BK45" s="845"/>
      <c r="BL45" s="845"/>
      <c r="BM45" s="845"/>
      <c r="BN45" s="845"/>
      <c r="BO45" s="845"/>
      <c r="BP45" s="845"/>
      <c r="BQ45" s="845"/>
      <c r="BR45" s="845"/>
      <c r="BS45" s="845"/>
      <c r="BT45" s="845"/>
      <c r="BU45" s="845"/>
      <c r="BV45" s="845"/>
      <c r="BW45" s="845"/>
      <c r="BX45" s="845"/>
      <c r="BY45" s="845"/>
      <c r="BZ45" s="845"/>
      <c r="CA45" s="845"/>
    </row>
    <row r="46" spans="1:79" s="851" customFormat="1" ht="7.5" customHeight="1">
      <c r="A46" s="847"/>
      <c r="B46" s="847"/>
      <c r="C46" s="848"/>
      <c r="D46" s="848"/>
      <c r="E46" s="849"/>
      <c r="F46" s="849"/>
      <c r="G46" s="849"/>
      <c r="H46" s="849"/>
      <c r="I46" s="849"/>
      <c r="J46" s="849"/>
      <c r="K46" s="849"/>
      <c r="L46" s="849"/>
      <c r="M46" s="849"/>
      <c r="N46" s="849"/>
      <c r="O46" s="849"/>
      <c r="P46" s="849"/>
      <c r="Q46" s="849"/>
      <c r="R46" s="849"/>
      <c r="S46" s="849"/>
      <c r="T46" s="849"/>
      <c r="U46" s="849"/>
      <c r="V46" s="849"/>
      <c r="W46" s="850"/>
      <c r="X46" s="850"/>
      <c r="Y46" s="850"/>
      <c r="Z46" s="850"/>
      <c r="AA46" s="850"/>
      <c r="AB46" s="850"/>
      <c r="AC46" s="850"/>
      <c r="AD46" s="850"/>
      <c r="AE46" s="850"/>
      <c r="AF46" s="850"/>
      <c r="AG46" s="850"/>
      <c r="AH46" s="850"/>
      <c r="AI46" s="850"/>
      <c r="AJ46" s="850"/>
      <c r="AK46" s="850"/>
      <c r="AL46" s="850"/>
      <c r="AM46" s="850"/>
      <c r="AN46" s="850"/>
      <c r="AO46" s="850"/>
      <c r="AP46" s="850"/>
      <c r="AQ46" s="850"/>
      <c r="AR46" s="850"/>
      <c r="AS46" s="850"/>
      <c r="AT46" s="850"/>
      <c r="AU46" s="850"/>
      <c r="AV46" s="850"/>
      <c r="AW46" s="850"/>
      <c r="AX46" s="850"/>
      <c r="AY46" s="850"/>
      <c r="AZ46" s="850"/>
      <c r="BA46" s="850"/>
      <c r="BB46" s="850"/>
      <c r="BC46" s="850"/>
      <c r="BD46" s="850"/>
      <c r="BE46" s="850"/>
      <c r="BF46" s="850"/>
      <c r="BG46" s="850"/>
      <c r="BH46" s="850"/>
      <c r="BI46" s="850"/>
      <c r="BJ46" s="850"/>
      <c r="BK46" s="850"/>
      <c r="BL46" s="850"/>
      <c r="BM46" s="850"/>
      <c r="BN46" s="850"/>
      <c r="BO46" s="850"/>
      <c r="BP46" s="850"/>
      <c r="BQ46" s="850"/>
      <c r="BR46" s="850"/>
      <c r="BS46" s="850"/>
      <c r="BT46" s="850"/>
      <c r="BU46" s="850"/>
      <c r="BV46" s="850"/>
      <c r="BW46" s="850"/>
      <c r="BX46" s="850"/>
      <c r="BY46" s="850"/>
      <c r="BZ46" s="850"/>
      <c r="CA46" s="850"/>
    </row>
    <row r="47" spans="1:79" s="846" customFormat="1" ht="12.75" customHeight="1">
      <c r="A47" s="841">
        <v>12</v>
      </c>
      <c r="B47" s="842" t="s">
        <v>1042</v>
      </c>
      <c r="C47" s="843"/>
      <c r="D47" s="843"/>
      <c r="E47" s="844">
        <v>24.1</v>
      </c>
      <c r="F47" s="844">
        <v>28</v>
      </c>
      <c r="G47" s="844"/>
      <c r="H47" s="844">
        <v>24.7</v>
      </c>
      <c r="I47" s="844">
        <v>44.5</v>
      </c>
      <c r="J47" s="844"/>
      <c r="K47" s="844">
        <v>22.9</v>
      </c>
      <c r="L47" s="844">
        <v>44.3</v>
      </c>
      <c r="M47" s="844"/>
      <c r="N47" s="844">
        <v>29.2</v>
      </c>
      <c r="O47" s="844">
        <v>26.5</v>
      </c>
      <c r="P47" s="844"/>
      <c r="Q47" s="844">
        <v>54.3</v>
      </c>
      <c r="R47" s="844">
        <v>56.7</v>
      </c>
      <c r="S47" s="844">
        <v>46.1</v>
      </c>
      <c r="T47" s="844"/>
      <c r="U47" s="844">
        <v>55.1</v>
      </c>
      <c r="V47" s="844">
        <v>55.9</v>
      </c>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5"/>
      <c r="AY47" s="845"/>
      <c r="AZ47" s="845"/>
      <c r="BA47" s="845"/>
      <c r="BB47" s="845"/>
      <c r="BC47" s="845"/>
      <c r="BD47" s="845"/>
      <c r="BE47" s="845"/>
      <c r="BF47" s="845"/>
      <c r="BG47" s="845"/>
      <c r="BH47" s="845"/>
      <c r="BI47" s="845"/>
      <c r="BJ47" s="845"/>
      <c r="BK47" s="845"/>
      <c r="BL47" s="845"/>
      <c r="BM47" s="845"/>
      <c r="BN47" s="845"/>
      <c r="BO47" s="845"/>
      <c r="BP47" s="845"/>
      <c r="BQ47" s="845"/>
      <c r="BR47" s="845"/>
      <c r="BS47" s="845"/>
      <c r="BT47" s="845"/>
      <c r="BU47" s="845"/>
      <c r="BV47" s="845"/>
      <c r="BW47" s="845"/>
      <c r="BX47" s="845"/>
      <c r="BY47" s="845"/>
      <c r="BZ47" s="845"/>
      <c r="CA47" s="845"/>
    </row>
    <row r="48" spans="1:79" s="851" customFormat="1" ht="6" customHeight="1">
      <c r="B48" s="847"/>
      <c r="C48" s="848"/>
      <c r="D48" s="848"/>
      <c r="E48" s="852"/>
      <c r="F48" s="852"/>
      <c r="G48" s="852"/>
      <c r="H48" s="852"/>
      <c r="I48" s="852"/>
      <c r="J48" s="852"/>
      <c r="K48" s="852"/>
      <c r="L48" s="852"/>
      <c r="M48" s="852"/>
      <c r="N48" s="852"/>
      <c r="O48" s="852"/>
      <c r="P48" s="852"/>
      <c r="Q48" s="852"/>
      <c r="R48" s="852"/>
      <c r="S48" s="852"/>
      <c r="T48" s="852"/>
      <c r="U48" s="852"/>
      <c r="V48" s="852"/>
      <c r="W48" s="850"/>
      <c r="X48" s="850"/>
      <c r="Y48" s="850"/>
      <c r="Z48" s="850"/>
      <c r="AA48" s="850"/>
      <c r="AB48" s="850"/>
      <c r="AC48" s="850"/>
      <c r="AD48" s="850"/>
      <c r="AE48" s="850"/>
      <c r="AF48" s="850"/>
      <c r="AG48" s="850"/>
      <c r="AH48" s="850"/>
      <c r="AI48" s="850"/>
      <c r="AJ48" s="850"/>
      <c r="AK48" s="850"/>
      <c r="AL48" s="850"/>
      <c r="AM48" s="850"/>
      <c r="AN48" s="850"/>
      <c r="AO48" s="850"/>
      <c r="AP48" s="850"/>
      <c r="AQ48" s="850"/>
      <c r="AR48" s="850"/>
      <c r="AS48" s="850"/>
      <c r="AT48" s="850"/>
      <c r="AU48" s="850"/>
      <c r="AV48" s="850"/>
      <c r="AW48" s="850"/>
      <c r="AX48" s="850"/>
      <c r="AY48" s="850"/>
      <c r="AZ48" s="850"/>
      <c r="BA48" s="850"/>
      <c r="BB48" s="850"/>
      <c r="BC48" s="850"/>
      <c r="BD48" s="850"/>
      <c r="BE48" s="850"/>
      <c r="BF48" s="850"/>
      <c r="BG48" s="850"/>
      <c r="BH48" s="850"/>
      <c r="BI48" s="850"/>
      <c r="BJ48" s="850"/>
      <c r="BK48" s="850"/>
      <c r="BL48" s="850"/>
      <c r="BM48" s="850"/>
      <c r="BN48" s="850"/>
      <c r="BO48" s="850"/>
      <c r="BP48" s="850"/>
      <c r="BQ48" s="850"/>
      <c r="BR48" s="850"/>
      <c r="BS48" s="850"/>
      <c r="BT48" s="850"/>
      <c r="BU48" s="850"/>
      <c r="BV48" s="850"/>
      <c r="BW48" s="850"/>
      <c r="BX48" s="850"/>
      <c r="BY48" s="850"/>
      <c r="BZ48" s="850"/>
      <c r="CA48" s="850"/>
    </row>
    <row r="49" spans="1:79" s="851" customFormat="1" ht="6" customHeight="1">
      <c r="A49" s="847"/>
      <c r="B49" s="847"/>
      <c r="C49" s="848"/>
      <c r="D49" s="848"/>
      <c r="E49" s="849"/>
      <c r="F49" s="849"/>
      <c r="G49" s="849"/>
      <c r="H49" s="849"/>
      <c r="I49" s="849"/>
      <c r="J49" s="849"/>
      <c r="K49" s="849"/>
      <c r="L49" s="849"/>
      <c r="M49" s="849"/>
      <c r="N49" s="849"/>
      <c r="O49" s="849"/>
      <c r="P49" s="849"/>
      <c r="Q49" s="849"/>
      <c r="R49" s="849"/>
      <c r="S49" s="849"/>
      <c r="T49" s="849"/>
      <c r="U49" s="849"/>
      <c r="V49" s="849"/>
      <c r="W49" s="850"/>
      <c r="X49" s="850"/>
      <c r="Y49" s="850"/>
      <c r="Z49" s="850"/>
      <c r="AA49" s="850"/>
      <c r="AB49" s="850"/>
      <c r="AC49" s="850"/>
      <c r="AD49" s="850"/>
      <c r="AE49" s="850"/>
      <c r="AF49" s="850"/>
      <c r="AG49" s="850"/>
      <c r="AH49" s="850"/>
      <c r="AI49" s="850"/>
      <c r="AJ49" s="850"/>
      <c r="AK49" s="850"/>
      <c r="AL49" s="850"/>
      <c r="AM49" s="850"/>
      <c r="AN49" s="850"/>
      <c r="AO49" s="850"/>
      <c r="AP49" s="850"/>
      <c r="AQ49" s="850"/>
      <c r="AR49" s="850"/>
      <c r="AS49" s="850"/>
      <c r="AT49" s="850"/>
      <c r="AU49" s="850"/>
      <c r="AV49" s="850"/>
      <c r="AW49" s="850"/>
      <c r="AX49" s="850"/>
      <c r="AY49" s="850"/>
      <c r="AZ49" s="850"/>
      <c r="BA49" s="850"/>
      <c r="BB49" s="850"/>
      <c r="BC49" s="850"/>
      <c r="BD49" s="850"/>
      <c r="BE49" s="850"/>
      <c r="BF49" s="850"/>
      <c r="BG49" s="850"/>
      <c r="BH49" s="850"/>
      <c r="BI49" s="850"/>
      <c r="BJ49" s="850"/>
      <c r="BK49" s="850"/>
      <c r="BL49" s="850"/>
      <c r="BM49" s="850"/>
      <c r="BN49" s="850"/>
      <c r="BO49" s="850"/>
      <c r="BP49" s="850"/>
      <c r="BQ49" s="850"/>
      <c r="BR49" s="850"/>
      <c r="BS49" s="850"/>
      <c r="BT49" s="850"/>
      <c r="BU49" s="850"/>
      <c r="BV49" s="850"/>
      <c r="BW49" s="850"/>
      <c r="BX49" s="850"/>
      <c r="BY49" s="850"/>
      <c r="BZ49" s="850"/>
      <c r="CA49" s="850"/>
    </row>
    <row r="50" spans="1:79" s="846" customFormat="1" ht="12.75" customHeight="1">
      <c r="A50" s="853" t="s">
        <v>1043</v>
      </c>
      <c r="B50" s="842" t="s">
        <v>1044</v>
      </c>
      <c r="C50" s="843"/>
      <c r="D50" s="843"/>
      <c r="E50" s="844">
        <v>191.3</v>
      </c>
      <c r="F50" s="844">
        <v>338.2</v>
      </c>
      <c r="G50" s="844"/>
      <c r="H50" s="844">
        <v>229</v>
      </c>
      <c r="I50" s="844">
        <v>441.4</v>
      </c>
      <c r="J50" s="844"/>
      <c r="K50" s="844">
        <v>307.10000000000002</v>
      </c>
      <c r="L50" s="844">
        <v>506.6</v>
      </c>
      <c r="M50" s="844"/>
      <c r="N50" s="844">
        <v>366.7</v>
      </c>
      <c r="O50" s="844">
        <v>366.6</v>
      </c>
      <c r="P50" s="844"/>
      <c r="Q50" s="844">
        <v>557.9</v>
      </c>
      <c r="R50" s="844">
        <v>600.79999999999995</v>
      </c>
      <c r="S50" s="844">
        <v>581.29999999999995</v>
      </c>
      <c r="T50" s="844"/>
      <c r="U50" s="844">
        <v>656.2</v>
      </c>
      <c r="V50" s="844">
        <v>670.6</v>
      </c>
      <c r="W50" s="845"/>
      <c r="X50" s="845"/>
      <c r="Y50" s="845"/>
      <c r="Z50" s="845"/>
      <c r="AA50" s="845"/>
      <c r="AB50" s="845"/>
      <c r="AC50" s="845"/>
      <c r="AD50" s="845"/>
      <c r="AE50" s="845"/>
      <c r="AF50" s="845"/>
      <c r="AG50" s="845"/>
      <c r="AH50" s="845"/>
      <c r="AI50" s="845"/>
      <c r="AJ50" s="845"/>
      <c r="AK50" s="845"/>
      <c r="AL50" s="845"/>
      <c r="AM50" s="845"/>
      <c r="AN50" s="845"/>
      <c r="AO50" s="845"/>
      <c r="AP50" s="845"/>
      <c r="AQ50" s="845"/>
      <c r="AR50" s="845"/>
      <c r="AS50" s="845"/>
      <c r="AT50" s="845"/>
      <c r="AU50" s="845"/>
      <c r="AV50" s="845"/>
      <c r="AW50" s="845"/>
      <c r="AX50" s="845"/>
      <c r="AY50" s="845"/>
      <c r="AZ50" s="845"/>
      <c r="BA50" s="845"/>
      <c r="BB50" s="845"/>
      <c r="BC50" s="845"/>
      <c r="BD50" s="845"/>
      <c r="BE50" s="845"/>
      <c r="BF50" s="845"/>
      <c r="BG50" s="845"/>
      <c r="BH50" s="845"/>
      <c r="BI50" s="845"/>
      <c r="BJ50" s="845"/>
      <c r="BK50" s="845"/>
      <c r="BL50" s="845"/>
      <c r="BM50" s="845"/>
      <c r="BN50" s="845"/>
      <c r="BO50" s="845"/>
      <c r="BP50" s="845"/>
      <c r="BQ50" s="845"/>
      <c r="BR50" s="845"/>
      <c r="BS50" s="845"/>
      <c r="BT50" s="845"/>
      <c r="BU50" s="845"/>
      <c r="BV50" s="845"/>
      <c r="BW50" s="845"/>
      <c r="BX50" s="845"/>
      <c r="BY50" s="845"/>
      <c r="BZ50" s="845"/>
      <c r="CA50" s="845"/>
    </row>
    <row r="51" spans="1:79" s="851" customFormat="1" ht="6" customHeight="1">
      <c r="A51" s="847"/>
      <c r="B51" s="847"/>
      <c r="C51" s="848"/>
      <c r="D51" s="848"/>
      <c r="E51" s="852"/>
      <c r="F51" s="852"/>
      <c r="G51" s="852"/>
      <c r="H51" s="852"/>
      <c r="I51" s="852"/>
      <c r="J51" s="852"/>
      <c r="K51" s="852"/>
      <c r="L51" s="852"/>
      <c r="M51" s="852"/>
      <c r="N51" s="852"/>
      <c r="O51" s="852"/>
      <c r="P51" s="852"/>
      <c r="Q51" s="852"/>
      <c r="R51" s="852"/>
      <c r="S51" s="852"/>
      <c r="T51" s="852"/>
      <c r="U51" s="852"/>
      <c r="V51" s="852"/>
      <c r="W51" s="850"/>
      <c r="X51" s="850"/>
      <c r="Y51" s="850"/>
      <c r="Z51" s="850"/>
      <c r="AA51" s="850"/>
      <c r="AB51" s="850"/>
      <c r="AC51" s="850"/>
      <c r="AD51" s="850"/>
      <c r="AE51" s="850"/>
      <c r="AF51" s="850"/>
      <c r="AG51" s="850"/>
      <c r="AH51" s="850"/>
      <c r="AI51" s="850"/>
      <c r="AJ51" s="850"/>
      <c r="AK51" s="850"/>
      <c r="AL51" s="850"/>
      <c r="AM51" s="850"/>
      <c r="AN51" s="850"/>
      <c r="AO51" s="850"/>
      <c r="AP51" s="850"/>
      <c r="AQ51" s="850"/>
      <c r="AR51" s="850"/>
      <c r="AS51" s="850"/>
      <c r="AT51" s="850"/>
      <c r="AU51" s="850"/>
      <c r="AV51" s="850"/>
      <c r="AW51" s="850"/>
      <c r="AX51" s="850"/>
      <c r="AY51" s="850"/>
      <c r="AZ51" s="850"/>
      <c r="BA51" s="850"/>
      <c r="BB51" s="850"/>
      <c r="BC51" s="850"/>
      <c r="BD51" s="850"/>
      <c r="BE51" s="850"/>
      <c r="BF51" s="850"/>
      <c r="BG51" s="850"/>
      <c r="BH51" s="850"/>
      <c r="BI51" s="850"/>
      <c r="BJ51" s="850"/>
      <c r="BK51" s="850"/>
      <c r="BL51" s="850"/>
      <c r="BM51" s="850"/>
      <c r="BN51" s="850"/>
      <c r="BO51" s="850"/>
      <c r="BP51" s="850"/>
      <c r="BQ51" s="850"/>
      <c r="BR51" s="850"/>
      <c r="BS51" s="850"/>
      <c r="BT51" s="850"/>
      <c r="BU51" s="850"/>
      <c r="BV51" s="850"/>
      <c r="BW51" s="850"/>
      <c r="BX51" s="850"/>
      <c r="BY51" s="850"/>
      <c r="BZ51" s="850"/>
      <c r="CA51" s="850"/>
    </row>
    <row r="52" spans="1:79" s="851" customFormat="1" ht="6" customHeight="1">
      <c r="A52" s="847"/>
      <c r="B52" s="847"/>
      <c r="C52" s="848"/>
      <c r="D52" s="848"/>
      <c r="E52" s="849"/>
      <c r="F52" s="849"/>
      <c r="G52" s="849"/>
      <c r="H52" s="849"/>
      <c r="I52" s="849"/>
      <c r="J52" s="849"/>
      <c r="K52" s="849"/>
      <c r="L52" s="849"/>
      <c r="M52" s="849"/>
      <c r="N52" s="849"/>
      <c r="O52" s="849"/>
      <c r="P52" s="849"/>
      <c r="Q52" s="849"/>
      <c r="R52" s="849"/>
      <c r="S52" s="849"/>
      <c r="T52" s="849"/>
      <c r="U52" s="849"/>
      <c r="V52" s="849"/>
      <c r="W52" s="850"/>
      <c r="X52" s="850"/>
      <c r="Y52" s="850"/>
      <c r="Z52" s="850"/>
      <c r="AA52" s="850"/>
      <c r="AB52" s="850"/>
      <c r="AC52" s="850"/>
      <c r="AD52" s="850"/>
      <c r="AE52" s="850"/>
      <c r="AF52" s="850"/>
      <c r="AG52" s="850"/>
      <c r="AH52" s="850"/>
      <c r="AI52" s="850"/>
      <c r="AJ52" s="850"/>
      <c r="AK52" s="850"/>
      <c r="AL52" s="850"/>
      <c r="AM52" s="850"/>
      <c r="AN52" s="850"/>
      <c r="AO52" s="850"/>
      <c r="AP52" s="850"/>
      <c r="AQ52" s="850"/>
      <c r="AR52" s="850"/>
      <c r="AS52" s="850"/>
      <c r="AT52" s="850"/>
      <c r="AU52" s="850"/>
      <c r="AV52" s="850"/>
      <c r="AW52" s="850"/>
      <c r="AX52" s="850"/>
      <c r="AY52" s="850"/>
      <c r="AZ52" s="850"/>
      <c r="BA52" s="850"/>
      <c r="BB52" s="850"/>
      <c r="BC52" s="850"/>
      <c r="BD52" s="850"/>
      <c r="BE52" s="850"/>
      <c r="BF52" s="850"/>
      <c r="BG52" s="850"/>
      <c r="BH52" s="850"/>
      <c r="BI52" s="850"/>
      <c r="BJ52" s="850"/>
      <c r="BK52" s="850"/>
      <c r="BL52" s="850"/>
      <c r="BM52" s="850"/>
      <c r="BN52" s="850"/>
      <c r="BO52" s="850"/>
      <c r="BP52" s="850"/>
      <c r="BQ52" s="850"/>
      <c r="BR52" s="850"/>
      <c r="BS52" s="850"/>
      <c r="BT52" s="850"/>
      <c r="BU52" s="850"/>
      <c r="BV52" s="850"/>
      <c r="BW52" s="850"/>
      <c r="BX52" s="850"/>
      <c r="BY52" s="850"/>
      <c r="BZ52" s="850"/>
      <c r="CA52" s="850"/>
    </row>
    <row r="53" spans="1:79" s="846" customFormat="1" ht="12.75" customHeight="1">
      <c r="A53" s="841">
        <v>13</v>
      </c>
      <c r="B53" s="842" t="s">
        <v>1045</v>
      </c>
      <c r="C53" s="854"/>
      <c r="D53" s="843"/>
      <c r="E53" s="844">
        <v>25</v>
      </c>
      <c r="F53" s="844">
        <v>37.700000000000003</v>
      </c>
      <c r="G53" s="844"/>
      <c r="H53" s="844">
        <v>51.5</v>
      </c>
      <c r="I53" s="844">
        <v>68.8</v>
      </c>
      <c r="J53" s="844"/>
      <c r="K53" s="844">
        <v>54</v>
      </c>
      <c r="L53" s="844">
        <v>82.2</v>
      </c>
      <c r="M53" s="844"/>
      <c r="N53" s="844">
        <v>49.6</v>
      </c>
      <c r="O53" s="844">
        <v>35.6</v>
      </c>
      <c r="P53" s="844"/>
      <c r="Q53" s="844">
        <v>104.8</v>
      </c>
      <c r="R53" s="844">
        <v>112.4</v>
      </c>
      <c r="S53" s="844">
        <v>81.7</v>
      </c>
      <c r="T53" s="844"/>
      <c r="U53" s="844">
        <v>79.3</v>
      </c>
      <c r="V53" s="844">
        <v>73.400000000000006</v>
      </c>
      <c r="W53" s="845"/>
      <c r="X53" s="845"/>
      <c r="Y53" s="845"/>
      <c r="Z53" s="845"/>
      <c r="AA53" s="845"/>
      <c r="AB53" s="845"/>
      <c r="AC53" s="845"/>
      <c r="AD53" s="845"/>
      <c r="AE53" s="845"/>
      <c r="AF53" s="845"/>
      <c r="AG53" s="845"/>
      <c r="AH53" s="845"/>
      <c r="AI53" s="845"/>
      <c r="AJ53" s="845"/>
      <c r="AK53" s="845"/>
      <c r="AL53" s="845"/>
      <c r="AM53" s="845"/>
      <c r="AN53" s="845"/>
      <c r="AO53" s="845"/>
      <c r="AP53" s="845"/>
      <c r="AQ53" s="845"/>
      <c r="AR53" s="845"/>
      <c r="AS53" s="845"/>
      <c r="AT53" s="845"/>
      <c r="AU53" s="845"/>
      <c r="AV53" s="845"/>
      <c r="AW53" s="845"/>
      <c r="AX53" s="845"/>
      <c r="AY53" s="845"/>
      <c r="AZ53" s="845"/>
      <c r="BA53" s="845"/>
      <c r="BB53" s="845"/>
      <c r="BC53" s="845"/>
      <c r="BD53" s="845"/>
      <c r="BE53" s="845"/>
      <c r="BF53" s="845"/>
      <c r="BG53" s="845"/>
      <c r="BH53" s="845"/>
      <c r="BI53" s="845"/>
      <c r="BJ53" s="845"/>
      <c r="BK53" s="845"/>
      <c r="BL53" s="845"/>
      <c r="BM53" s="845"/>
      <c r="BN53" s="845"/>
      <c r="BO53" s="845"/>
      <c r="BP53" s="845"/>
      <c r="BQ53" s="845"/>
      <c r="BR53" s="845"/>
      <c r="BS53" s="845"/>
      <c r="BT53" s="845"/>
      <c r="BU53" s="845"/>
      <c r="BV53" s="845"/>
      <c r="BW53" s="845"/>
      <c r="BX53" s="845"/>
      <c r="BY53" s="845"/>
      <c r="BZ53" s="845"/>
      <c r="CA53" s="845"/>
    </row>
    <row r="54" spans="1:79" s="851" customFormat="1" ht="6" customHeight="1">
      <c r="A54" s="855"/>
      <c r="B54" s="855"/>
      <c r="C54" s="856"/>
      <c r="D54" s="857"/>
      <c r="E54" s="858"/>
      <c r="F54" s="858"/>
      <c r="G54" s="858"/>
      <c r="H54" s="858"/>
      <c r="I54" s="858"/>
      <c r="J54" s="858"/>
      <c r="K54" s="858"/>
      <c r="L54" s="858"/>
      <c r="M54" s="858"/>
      <c r="N54" s="858"/>
      <c r="O54" s="858"/>
      <c r="P54" s="858"/>
      <c r="Q54" s="858"/>
      <c r="R54" s="858"/>
      <c r="S54" s="858"/>
      <c r="T54" s="858"/>
      <c r="U54" s="858"/>
      <c r="V54" s="858"/>
      <c r="W54" s="850"/>
      <c r="X54" s="850"/>
      <c r="Y54" s="850"/>
      <c r="Z54" s="850"/>
      <c r="AA54" s="850"/>
      <c r="AB54" s="850"/>
      <c r="AC54" s="850"/>
      <c r="AD54" s="850"/>
      <c r="AE54" s="850"/>
      <c r="AF54" s="850"/>
      <c r="AG54" s="850"/>
      <c r="AH54" s="850"/>
      <c r="AI54" s="850"/>
      <c r="AJ54" s="850"/>
      <c r="AK54" s="850"/>
      <c r="AL54" s="850"/>
      <c r="AM54" s="850"/>
      <c r="AN54" s="850"/>
      <c r="AO54" s="850"/>
      <c r="AP54" s="850"/>
      <c r="AQ54" s="850"/>
      <c r="AR54" s="850"/>
      <c r="AS54" s="850"/>
      <c r="AT54" s="850"/>
      <c r="AU54" s="850"/>
      <c r="AV54" s="850"/>
      <c r="AW54" s="850"/>
      <c r="AX54" s="850"/>
      <c r="AY54" s="850"/>
      <c r="AZ54" s="850"/>
      <c r="BA54" s="850"/>
      <c r="BB54" s="850"/>
      <c r="BC54" s="850"/>
      <c r="BD54" s="850"/>
      <c r="BE54" s="850"/>
      <c r="BF54" s="850"/>
      <c r="BG54" s="850"/>
      <c r="BH54" s="850"/>
      <c r="BI54" s="850"/>
      <c r="BJ54" s="850"/>
      <c r="BK54" s="850"/>
      <c r="BL54" s="850"/>
      <c r="BM54" s="850"/>
      <c r="BN54" s="850"/>
      <c r="BO54" s="850"/>
      <c r="BP54" s="850"/>
      <c r="BQ54" s="850"/>
      <c r="BR54" s="850"/>
      <c r="BS54" s="850"/>
      <c r="BT54" s="850"/>
      <c r="BU54" s="850"/>
      <c r="BV54" s="850"/>
      <c r="BW54" s="850"/>
      <c r="BX54" s="850"/>
      <c r="BY54" s="850"/>
      <c r="BZ54" s="850"/>
      <c r="CA54" s="850"/>
    </row>
    <row r="55" spans="1:79" ht="6" customHeight="1">
      <c r="A55" s="800"/>
      <c r="B55" s="800"/>
      <c r="C55" s="839"/>
      <c r="D55" s="859"/>
      <c r="E55" s="860"/>
      <c r="F55" s="860"/>
      <c r="G55" s="860"/>
      <c r="H55" s="860"/>
      <c r="I55" s="860"/>
      <c r="J55" s="860"/>
      <c r="K55" s="860"/>
      <c r="L55" s="860"/>
      <c r="M55" s="860"/>
      <c r="N55" s="860"/>
      <c r="O55" s="860"/>
      <c r="P55" s="860"/>
      <c r="Q55" s="860"/>
      <c r="R55" s="860"/>
      <c r="S55" s="860"/>
      <c r="T55" s="860"/>
      <c r="U55" s="860"/>
      <c r="V55" s="860"/>
    </row>
    <row r="56" spans="1:79" s="846" customFormat="1" ht="12.75" customHeight="1">
      <c r="A56" s="861" t="s">
        <v>1018</v>
      </c>
      <c r="B56" s="862"/>
      <c r="C56" s="863"/>
      <c r="D56" s="864"/>
      <c r="E56" s="865">
        <v>216.3</v>
      </c>
      <c r="F56" s="865">
        <v>376</v>
      </c>
      <c r="G56" s="865"/>
      <c r="H56" s="865">
        <v>280.5</v>
      </c>
      <c r="I56" s="865">
        <v>510.2</v>
      </c>
      <c r="J56" s="865"/>
      <c r="K56" s="865">
        <v>361.1</v>
      </c>
      <c r="L56" s="865">
        <v>588.79999999999995</v>
      </c>
      <c r="M56" s="865"/>
      <c r="N56" s="865">
        <v>416.3</v>
      </c>
      <c r="O56" s="865">
        <v>402.2</v>
      </c>
      <c r="P56" s="865"/>
      <c r="Q56" s="865">
        <v>662.7</v>
      </c>
      <c r="R56" s="865">
        <v>713.2</v>
      </c>
      <c r="S56" s="865">
        <v>663.1</v>
      </c>
      <c r="T56" s="865"/>
      <c r="U56" s="865">
        <v>735.5</v>
      </c>
      <c r="V56" s="865">
        <v>744</v>
      </c>
      <c r="W56" s="845"/>
      <c r="X56" s="845"/>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5"/>
      <c r="AY56" s="845"/>
      <c r="AZ56" s="845"/>
      <c r="BA56" s="845"/>
      <c r="BB56" s="845"/>
      <c r="BC56" s="845"/>
      <c r="BD56" s="845"/>
      <c r="BE56" s="845"/>
      <c r="BF56" s="845"/>
      <c r="BG56" s="845"/>
      <c r="BH56" s="845"/>
      <c r="BI56" s="845"/>
      <c r="BJ56" s="845"/>
      <c r="BK56" s="845"/>
      <c r="BL56" s="845"/>
      <c r="BM56" s="845"/>
      <c r="BN56" s="845"/>
      <c r="BO56" s="845"/>
      <c r="BP56" s="845"/>
      <c r="BQ56" s="845"/>
      <c r="BR56" s="845"/>
      <c r="BS56" s="845"/>
      <c r="BT56" s="845"/>
      <c r="BU56" s="845"/>
      <c r="BV56" s="845"/>
      <c r="BW56" s="845"/>
      <c r="BX56" s="845"/>
      <c r="BY56" s="845"/>
      <c r="BZ56" s="845"/>
      <c r="CA56" s="845"/>
    </row>
    <row r="57" spans="1:79" s="821" customFormat="1" ht="6" customHeight="1">
      <c r="A57" s="866"/>
      <c r="B57" s="867"/>
      <c r="C57" s="868"/>
      <c r="D57" s="868"/>
      <c r="E57" s="869"/>
      <c r="F57" s="869"/>
      <c r="G57" s="869"/>
      <c r="H57" s="869"/>
      <c r="I57" s="869"/>
      <c r="J57" s="869"/>
      <c r="K57" s="869"/>
      <c r="L57" s="869"/>
      <c r="M57" s="869"/>
      <c r="N57" s="869"/>
      <c r="O57" s="869"/>
      <c r="P57" s="869"/>
      <c r="Q57" s="869"/>
      <c r="R57" s="869"/>
      <c r="S57" s="869"/>
      <c r="T57" s="869"/>
      <c r="U57" s="869"/>
      <c r="V57" s="869"/>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803"/>
      <c r="BM57" s="803"/>
      <c r="BN57" s="803"/>
      <c r="BO57" s="803"/>
      <c r="BP57" s="803"/>
      <c r="BQ57" s="803"/>
      <c r="BR57" s="803"/>
      <c r="BS57" s="803"/>
      <c r="BT57" s="803"/>
      <c r="BU57" s="803"/>
      <c r="BV57" s="803"/>
      <c r="BW57" s="803"/>
      <c r="BX57" s="803"/>
      <c r="BY57" s="803"/>
      <c r="BZ57" s="803"/>
      <c r="CA57" s="803"/>
    </row>
    <row r="58" spans="1:79" s="821" customFormat="1" ht="6" customHeight="1">
      <c r="A58" s="870"/>
      <c r="B58" s="871"/>
      <c r="C58" s="872"/>
      <c r="D58" s="872"/>
      <c r="E58" s="817"/>
      <c r="F58" s="817"/>
      <c r="G58" s="817"/>
      <c r="H58" s="817"/>
      <c r="I58" s="817"/>
      <c r="J58" s="817"/>
      <c r="K58" s="817"/>
      <c r="L58" s="817"/>
      <c r="M58" s="817"/>
      <c r="N58" s="817"/>
      <c r="O58" s="817"/>
      <c r="P58" s="817"/>
      <c r="Q58" s="817"/>
      <c r="R58" s="817"/>
      <c r="S58" s="817"/>
      <c r="T58" s="817"/>
      <c r="U58" s="817"/>
      <c r="V58" s="817"/>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803"/>
      <c r="BM58" s="803"/>
      <c r="BN58" s="803"/>
      <c r="BO58" s="803"/>
      <c r="BP58" s="803"/>
      <c r="BQ58" s="803"/>
      <c r="BR58" s="803"/>
      <c r="BS58" s="803"/>
      <c r="BT58" s="803"/>
      <c r="BU58" s="803"/>
      <c r="BV58" s="803"/>
      <c r="BW58" s="803"/>
      <c r="BX58" s="803"/>
      <c r="BY58" s="803"/>
      <c r="BZ58" s="803"/>
      <c r="CA58" s="803"/>
    </row>
    <row r="59" spans="1:79" s="875" customFormat="1" ht="12.75" customHeight="1">
      <c r="A59" s="873" t="s">
        <v>1046</v>
      </c>
      <c r="B59" s="873"/>
      <c r="C59" s="874"/>
      <c r="D59" s="863"/>
      <c r="E59" s="817"/>
      <c r="F59" s="817"/>
      <c r="G59" s="817"/>
      <c r="H59" s="817"/>
      <c r="I59" s="817"/>
      <c r="J59" s="817"/>
      <c r="K59" s="817"/>
      <c r="L59" s="817"/>
      <c r="M59" s="817"/>
      <c r="N59" s="817"/>
      <c r="O59" s="817"/>
      <c r="P59" s="817"/>
      <c r="Q59" s="817"/>
      <c r="R59" s="817"/>
      <c r="S59" s="817"/>
      <c r="T59" s="817"/>
      <c r="U59" s="817"/>
      <c r="V59" s="817"/>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c r="BB59" s="803"/>
      <c r="BC59" s="803"/>
      <c r="BD59" s="803"/>
      <c r="BE59" s="803"/>
      <c r="BF59" s="803"/>
      <c r="BG59" s="803"/>
      <c r="BH59" s="803"/>
      <c r="BI59" s="803"/>
      <c r="BJ59" s="803"/>
      <c r="BK59" s="803"/>
      <c r="BL59" s="803"/>
      <c r="BM59" s="803"/>
      <c r="BN59" s="803"/>
      <c r="BO59" s="803"/>
      <c r="BP59" s="803"/>
      <c r="BQ59" s="803"/>
      <c r="BR59" s="803"/>
      <c r="BS59" s="803"/>
      <c r="BT59" s="803"/>
      <c r="BU59" s="803"/>
      <c r="BV59" s="803"/>
      <c r="BW59" s="803"/>
      <c r="BX59" s="803"/>
      <c r="BY59" s="803"/>
      <c r="BZ59" s="803"/>
      <c r="CA59" s="803"/>
    </row>
    <row r="60" spans="1:79" s="846" customFormat="1" ht="12.75" customHeight="1">
      <c r="A60" s="876" t="s">
        <v>1018</v>
      </c>
      <c r="B60" s="861"/>
      <c r="C60" s="862"/>
      <c r="D60" s="864"/>
      <c r="E60" s="865">
        <v>216.3</v>
      </c>
      <c r="F60" s="865">
        <v>188</v>
      </c>
      <c r="G60" s="865"/>
      <c r="H60" s="865">
        <v>280.5</v>
      </c>
      <c r="I60" s="865">
        <v>255.1</v>
      </c>
      <c r="J60" s="865"/>
      <c r="K60" s="865">
        <v>361.1</v>
      </c>
      <c r="L60" s="865">
        <v>294.39999999999998</v>
      </c>
      <c r="M60" s="865"/>
      <c r="N60" s="865">
        <v>208.1</v>
      </c>
      <c r="O60" s="865">
        <v>120.3</v>
      </c>
      <c r="P60" s="865"/>
      <c r="Q60" s="865">
        <v>220.9</v>
      </c>
      <c r="R60" s="865">
        <v>178.3</v>
      </c>
      <c r="S60" s="865">
        <v>125.3</v>
      </c>
      <c r="T60" s="865"/>
      <c r="U60" s="865">
        <v>219.1</v>
      </c>
      <c r="V60" s="865">
        <v>149.4</v>
      </c>
      <c r="W60" s="845"/>
      <c r="X60" s="845"/>
      <c r="Y60" s="845"/>
      <c r="Z60" s="845"/>
      <c r="AA60" s="845"/>
      <c r="AB60" s="845"/>
      <c r="AC60" s="845"/>
      <c r="AD60" s="845"/>
      <c r="AE60" s="845"/>
      <c r="AF60" s="845"/>
      <c r="AG60" s="845"/>
      <c r="AH60" s="845"/>
      <c r="AI60" s="845"/>
      <c r="AJ60" s="845"/>
      <c r="AK60" s="845"/>
      <c r="AL60" s="845"/>
      <c r="AM60" s="845"/>
      <c r="AN60" s="845"/>
      <c r="AO60" s="845"/>
      <c r="AP60" s="845"/>
      <c r="AQ60" s="845"/>
      <c r="AR60" s="845"/>
      <c r="AS60" s="845"/>
      <c r="AT60" s="845"/>
      <c r="AU60" s="845"/>
      <c r="AV60" s="845"/>
      <c r="AW60" s="845"/>
      <c r="AX60" s="845"/>
      <c r="AY60" s="845"/>
      <c r="AZ60" s="845"/>
      <c r="BA60" s="845"/>
      <c r="BB60" s="845"/>
      <c r="BC60" s="845"/>
      <c r="BD60" s="845"/>
      <c r="BE60" s="845"/>
      <c r="BF60" s="845"/>
      <c r="BG60" s="845"/>
      <c r="BH60" s="845"/>
      <c r="BI60" s="845"/>
      <c r="BJ60" s="845"/>
      <c r="BK60" s="845"/>
      <c r="BL60" s="845"/>
      <c r="BM60" s="845"/>
      <c r="BN60" s="845"/>
      <c r="BO60" s="845"/>
      <c r="BP60" s="845"/>
      <c r="BQ60" s="845"/>
      <c r="BR60" s="845"/>
      <c r="BS60" s="845"/>
      <c r="BT60" s="845"/>
      <c r="BU60" s="845"/>
      <c r="BV60" s="845"/>
      <c r="BW60" s="845"/>
      <c r="BX60" s="845"/>
      <c r="BY60" s="845"/>
      <c r="BZ60" s="845"/>
      <c r="CA60" s="845"/>
    </row>
    <row r="61" spans="1:79" s="821" customFormat="1" ht="6" customHeight="1">
      <c r="A61" s="855"/>
      <c r="B61" s="855"/>
      <c r="C61" s="877"/>
      <c r="D61" s="856"/>
      <c r="E61" s="878"/>
      <c r="F61" s="878"/>
      <c r="G61" s="878"/>
      <c r="H61" s="878"/>
      <c r="I61" s="878"/>
      <c r="J61" s="878"/>
      <c r="K61" s="878"/>
      <c r="L61" s="878"/>
      <c r="M61" s="878"/>
      <c r="N61" s="878"/>
      <c r="O61" s="856"/>
      <c r="P61" s="856"/>
      <c r="Q61" s="856"/>
      <c r="R61" s="878"/>
      <c r="S61" s="878"/>
      <c r="T61" s="878"/>
      <c r="U61" s="878"/>
      <c r="V61" s="878"/>
      <c r="W61" s="803"/>
      <c r="X61" s="803"/>
      <c r="Y61" s="803"/>
      <c r="Z61" s="803"/>
      <c r="AA61" s="803"/>
      <c r="AB61" s="803"/>
      <c r="AC61" s="803"/>
      <c r="AD61" s="803"/>
      <c r="AE61" s="803"/>
      <c r="AF61" s="803"/>
      <c r="AG61" s="803"/>
      <c r="AH61" s="803"/>
      <c r="AI61" s="803"/>
      <c r="AJ61" s="803"/>
      <c r="AK61" s="803"/>
      <c r="AL61" s="803"/>
      <c r="AM61" s="803"/>
      <c r="AN61" s="803"/>
      <c r="AO61" s="803"/>
      <c r="AP61" s="803"/>
      <c r="AQ61" s="803"/>
      <c r="AR61" s="803"/>
      <c r="AS61" s="803"/>
      <c r="AT61" s="803"/>
      <c r="AU61" s="803"/>
      <c r="AV61" s="803"/>
      <c r="AW61" s="803"/>
      <c r="AX61" s="803"/>
      <c r="AY61" s="803"/>
      <c r="AZ61" s="803"/>
      <c r="BA61" s="803"/>
      <c r="BB61" s="803"/>
      <c r="BC61" s="803"/>
      <c r="BD61" s="803"/>
      <c r="BE61" s="803"/>
      <c r="BF61" s="803"/>
      <c r="BG61" s="803"/>
      <c r="BH61" s="803"/>
      <c r="BI61" s="803"/>
      <c r="BJ61" s="803"/>
      <c r="BK61" s="803"/>
      <c r="BL61" s="803"/>
      <c r="BM61" s="803"/>
      <c r="BN61" s="803"/>
      <c r="BO61" s="803"/>
      <c r="BP61" s="803"/>
      <c r="BQ61" s="803"/>
      <c r="BR61" s="803"/>
      <c r="BS61" s="803"/>
      <c r="BT61" s="803"/>
      <c r="BU61" s="803"/>
      <c r="BV61" s="803"/>
      <c r="BW61" s="803"/>
      <c r="BX61" s="803"/>
      <c r="BY61" s="803"/>
      <c r="BZ61" s="803"/>
      <c r="CA61" s="803"/>
    </row>
    <row r="62" spans="1:79" s="821" customFormat="1" ht="6" customHeight="1">
      <c r="A62" s="800"/>
      <c r="B62" s="800"/>
      <c r="C62" s="879"/>
      <c r="D62" s="839"/>
      <c r="E62" s="880"/>
      <c r="F62" s="880"/>
      <c r="G62" s="880"/>
      <c r="H62" s="880"/>
      <c r="I62" s="880"/>
      <c r="J62" s="880"/>
      <c r="K62" s="880"/>
    </row>
    <row r="63" spans="1:79" s="822" customFormat="1" ht="12" customHeight="1">
      <c r="A63" s="881" t="s">
        <v>1047</v>
      </c>
      <c r="C63" s="882"/>
      <c r="E63" s="840"/>
      <c r="F63" s="840"/>
      <c r="G63" s="840"/>
      <c r="H63" s="840"/>
      <c r="I63" s="840"/>
      <c r="J63" s="840"/>
      <c r="K63" s="840"/>
      <c r="L63" s="803"/>
      <c r="M63" s="803"/>
      <c r="N63" s="840"/>
      <c r="O63" s="840"/>
      <c r="P63" s="840"/>
      <c r="Q63" s="840"/>
      <c r="R63" s="840"/>
      <c r="S63" s="840"/>
      <c r="T63" s="840"/>
      <c r="U63" s="840"/>
      <c r="V63" s="840"/>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3"/>
      <c r="AY63" s="803"/>
      <c r="AZ63" s="803"/>
      <c r="BA63" s="803"/>
      <c r="BB63" s="803"/>
      <c r="BC63" s="803"/>
      <c r="BD63" s="803"/>
      <c r="BE63" s="803"/>
      <c r="BF63" s="803"/>
      <c r="BG63" s="803"/>
      <c r="BH63" s="803"/>
      <c r="BI63" s="803"/>
      <c r="BJ63" s="803"/>
      <c r="BK63" s="803"/>
      <c r="BL63" s="803"/>
      <c r="BM63" s="803"/>
      <c r="BN63" s="803"/>
      <c r="BO63" s="803"/>
      <c r="BP63" s="803"/>
      <c r="BQ63" s="803"/>
      <c r="BR63" s="803"/>
      <c r="BS63" s="803"/>
      <c r="BT63" s="803"/>
      <c r="BU63" s="803"/>
      <c r="BV63" s="803"/>
      <c r="BW63" s="803"/>
      <c r="BX63" s="803"/>
      <c r="BY63" s="803"/>
      <c r="BZ63" s="803"/>
      <c r="CA63" s="803"/>
    </row>
    <row r="64" spans="1:79" s="803" customFormat="1" ht="12" customHeight="1">
      <c r="A64" s="807" t="s">
        <v>1048</v>
      </c>
      <c r="B64" s="883"/>
      <c r="C64" s="884"/>
      <c r="D64" s="884"/>
      <c r="E64" s="885"/>
      <c r="F64" s="885"/>
      <c r="G64" s="885"/>
      <c r="H64" s="885"/>
      <c r="I64" s="885"/>
      <c r="J64" s="885"/>
      <c r="K64" s="885"/>
      <c r="N64" s="885"/>
      <c r="O64" s="885"/>
      <c r="P64" s="885"/>
      <c r="Q64" s="885"/>
      <c r="R64" s="885"/>
      <c r="S64" s="885"/>
      <c r="T64" s="885"/>
      <c r="U64" s="885"/>
      <c r="V64" s="885"/>
    </row>
    <row r="65" spans="1:79" s="803" customFormat="1" ht="13.5" customHeight="1">
      <c r="A65" s="886" t="s">
        <v>1049</v>
      </c>
      <c r="B65" s="883"/>
      <c r="C65" s="884"/>
      <c r="D65" s="884"/>
      <c r="E65" s="885"/>
      <c r="F65" s="885"/>
      <c r="G65" s="885"/>
      <c r="H65" s="885"/>
      <c r="I65" s="885"/>
      <c r="J65" s="885"/>
      <c r="K65" s="885"/>
      <c r="N65" s="885"/>
      <c r="O65" s="885"/>
      <c r="P65" s="885"/>
      <c r="Q65" s="885"/>
      <c r="R65" s="885"/>
      <c r="S65" s="885"/>
      <c r="T65" s="885"/>
      <c r="U65" s="885"/>
      <c r="V65" s="885"/>
    </row>
    <row r="66" spans="1:79" s="822" customFormat="1" ht="13.5" customHeight="1">
      <c r="A66" s="887" t="s">
        <v>1050</v>
      </c>
      <c r="B66" s="888"/>
      <c r="C66" s="884"/>
      <c r="D66" s="884"/>
      <c r="E66" s="885"/>
      <c r="F66" s="885"/>
      <c r="G66" s="885"/>
      <c r="H66" s="885"/>
      <c r="I66" s="885"/>
      <c r="J66" s="885"/>
      <c r="K66" s="885"/>
      <c r="L66" s="803"/>
      <c r="M66" s="803"/>
      <c r="N66" s="885"/>
      <c r="O66" s="885"/>
      <c r="P66" s="885"/>
      <c r="Q66" s="885"/>
      <c r="R66" s="885"/>
      <c r="S66" s="885"/>
      <c r="T66" s="885"/>
      <c r="U66" s="885"/>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3"/>
      <c r="AY66" s="803"/>
      <c r="AZ66" s="803"/>
      <c r="BA66" s="803"/>
      <c r="BB66" s="803"/>
      <c r="BC66" s="803"/>
      <c r="BD66" s="803"/>
      <c r="BE66" s="803"/>
      <c r="BF66" s="803"/>
      <c r="BG66" s="803"/>
      <c r="BH66" s="803"/>
      <c r="BI66" s="803"/>
      <c r="BJ66" s="803"/>
      <c r="BK66" s="803"/>
      <c r="BL66" s="803"/>
      <c r="BM66" s="803"/>
      <c r="BN66" s="803"/>
      <c r="BO66" s="803"/>
      <c r="BP66" s="803"/>
      <c r="BQ66" s="803"/>
      <c r="BR66" s="803"/>
      <c r="BS66" s="803"/>
      <c r="BT66" s="803"/>
      <c r="BU66" s="803"/>
      <c r="BV66" s="803"/>
      <c r="BW66" s="803"/>
      <c r="BX66" s="803"/>
      <c r="BY66" s="803"/>
      <c r="BZ66" s="803"/>
      <c r="CA66" s="803"/>
    </row>
    <row r="67" spans="1:79" ht="12" customHeight="1"/>
    <row r="68" spans="1:79" ht="12" customHeight="1">
      <c r="A68" s="803" t="s">
        <v>1051</v>
      </c>
      <c r="B68" s="822"/>
      <c r="C68" s="822"/>
      <c r="D68" s="822"/>
      <c r="E68" s="822"/>
      <c r="F68" s="885"/>
      <c r="G68" s="885"/>
      <c r="H68" s="885"/>
      <c r="I68" s="885"/>
      <c r="J68" s="885"/>
      <c r="K68" s="885"/>
    </row>
    <row r="69" spans="1:79" s="821" customFormat="1" ht="12" customHeight="1">
      <c r="B69" s="807"/>
      <c r="C69" s="889"/>
      <c r="D69" s="889"/>
      <c r="E69" s="816"/>
      <c r="F69" s="816"/>
      <c r="G69" s="816"/>
      <c r="H69" s="816"/>
      <c r="I69" s="816"/>
      <c r="J69" s="816"/>
      <c r="K69" s="816"/>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803"/>
      <c r="AJ69" s="803"/>
      <c r="AK69" s="803"/>
      <c r="AL69" s="803"/>
      <c r="AM69" s="803"/>
      <c r="AN69" s="803"/>
      <c r="AO69" s="803"/>
      <c r="AP69" s="803"/>
      <c r="AQ69" s="803"/>
      <c r="AR69" s="803"/>
      <c r="AS69" s="803"/>
      <c r="AT69" s="803"/>
      <c r="AU69" s="803"/>
      <c r="AV69" s="803"/>
      <c r="AW69" s="803"/>
      <c r="AX69" s="803"/>
      <c r="AY69" s="803"/>
      <c r="AZ69" s="803"/>
      <c r="BA69" s="803"/>
      <c r="BB69" s="803"/>
      <c r="BC69" s="803"/>
      <c r="BD69" s="803"/>
      <c r="BE69" s="803"/>
      <c r="BF69" s="803"/>
      <c r="BG69" s="803"/>
      <c r="BH69" s="803"/>
      <c r="BI69" s="803"/>
      <c r="BJ69" s="803"/>
      <c r="BK69" s="803"/>
      <c r="BL69" s="803"/>
      <c r="BM69" s="803"/>
      <c r="BN69" s="803"/>
      <c r="BO69" s="803"/>
      <c r="BP69" s="803"/>
      <c r="BQ69" s="803"/>
      <c r="BR69" s="803"/>
      <c r="BS69" s="803"/>
      <c r="BT69" s="803"/>
      <c r="BU69" s="803"/>
      <c r="BV69" s="803"/>
      <c r="BW69" s="803"/>
      <c r="BX69" s="803"/>
      <c r="BY69" s="803"/>
      <c r="BZ69" s="803"/>
      <c r="CA69" s="803"/>
    </row>
    <row r="70" spans="1:79" ht="12.75" customHeight="1">
      <c r="B70" s="822"/>
      <c r="C70" s="822"/>
    </row>
    <row r="71" spans="1:79" ht="12.75" customHeight="1"/>
    <row r="72" spans="1:79" ht="12.75" customHeight="1"/>
  </sheetData>
  <sheetProtection algorithmName="SHA-512" hashValue="97wjg69ate5Hv5tPW01lsaTCzynYIMAX4O3JuwusuFFLHxJz1IcBvkDzQyjgOXrkGgHxdRTrMk/x7VYukzNX+g==" saltValue="2prf1zNsmqG23sE5TFbf1g==" spinCount="100000" sheet="1" objects="1" scenarios="1"/>
  <mergeCells count="2">
    <mergeCell ref="N7:O7"/>
    <mergeCell ref="F22:U22"/>
  </mergeCells>
  <hyperlinks>
    <hyperlink ref="A65" r:id="rId1" display="https://www.ons.gov.uk/peoplepopulationandcommunity/personalandhouseholdfinances/incomeandwealth/compendium/familyspending/2015/methodology" xr:uid="{08C6FA6B-E905-45B8-85AD-CB2F7038EF92}"/>
    <hyperlink ref="N1" location="Contents!A1" display="Back to Contents" xr:uid="{6C00C3AD-4ECC-465E-99F8-84B98EFA3B93}"/>
  </hyperlinks>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56498-1963-4893-8FEC-C29AF3FDFEB4}">
  <dimension ref="A1:O420"/>
  <sheetViews>
    <sheetView topLeftCell="R1" workbookViewId="0">
      <selection activeCell="AG31" sqref="AG31"/>
    </sheetView>
  </sheetViews>
  <sheetFormatPr defaultColWidth="8.6640625" defaultRowHeight="11.1" customHeight="1"/>
  <cols>
    <col min="1" max="1" width="3.88671875" style="887" hidden="1" customWidth="1"/>
    <col min="2" max="2" width="3.88671875" style="807" hidden="1" customWidth="1"/>
    <col min="3" max="3" width="4.6640625" style="807" hidden="1" customWidth="1"/>
    <col min="4" max="4" width="28.109375" style="798" hidden="1" customWidth="1"/>
    <col min="5" max="5" width="6.109375" style="890" hidden="1" customWidth="1"/>
    <col min="6" max="8" width="6.6640625" style="890" hidden="1" customWidth="1"/>
    <col min="9" max="13" width="6.6640625" style="798" hidden="1" customWidth="1"/>
    <col min="14" max="17" width="0" style="798" hidden="1" customWidth="1"/>
    <col min="18" max="16384" width="8.6640625" style="798"/>
  </cols>
  <sheetData>
    <row r="1" spans="1:15" ht="15.75" customHeight="1">
      <c r="A1" s="782" t="s">
        <v>919</v>
      </c>
      <c r="B1" s="782"/>
    </row>
    <row r="2" spans="1:15" s="789" customFormat="1" ht="15.75" customHeight="1">
      <c r="A2" s="782" t="s">
        <v>1052</v>
      </c>
      <c r="B2" s="891"/>
      <c r="C2" s="784"/>
      <c r="E2" s="892"/>
      <c r="F2" s="892"/>
      <c r="G2" s="892"/>
      <c r="H2" s="893"/>
    </row>
    <row r="3" spans="1:15" s="789" customFormat="1" ht="15.75" customHeight="1">
      <c r="A3" s="792" t="s">
        <v>1448</v>
      </c>
      <c r="B3" s="894"/>
      <c r="C3" s="870"/>
      <c r="D3" s="793"/>
      <c r="E3" s="892"/>
      <c r="F3" s="892"/>
      <c r="G3" s="892"/>
      <c r="H3" s="893"/>
    </row>
    <row r="4" spans="1:15" ht="3.75" customHeight="1">
      <c r="A4" s="895"/>
      <c r="B4" s="794"/>
      <c r="C4" s="794"/>
      <c r="D4" s="795"/>
      <c r="E4" s="896"/>
      <c r="F4" s="896"/>
      <c r="G4" s="896"/>
      <c r="H4" s="896"/>
      <c r="I4" s="897"/>
      <c r="J4" s="795"/>
      <c r="K4" s="897"/>
      <c r="L4" s="795"/>
      <c r="M4" s="897"/>
    </row>
    <row r="5" spans="1:15" s="801" customFormat="1" ht="3" customHeight="1">
      <c r="A5" s="898"/>
      <c r="B5" s="800"/>
      <c r="C5" s="800"/>
      <c r="E5" s="899"/>
      <c r="F5" s="899"/>
      <c r="G5" s="899"/>
      <c r="H5" s="899"/>
      <c r="J5" s="899"/>
      <c r="L5" s="899"/>
      <c r="N5" s="900"/>
      <c r="O5" s="900"/>
    </row>
    <row r="6" spans="1:15" s="901" customFormat="1" ht="12" customHeight="1">
      <c r="A6" s="799"/>
      <c r="B6" s="800"/>
      <c r="C6" s="801"/>
      <c r="D6" s="801"/>
      <c r="E6" s="1336" t="s">
        <v>912</v>
      </c>
      <c r="F6" s="1336"/>
      <c r="G6" s="1336" t="s">
        <v>146</v>
      </c>
      <c r="H6" s="1336"/>
      <c r="I6" s="1336" t="s">
        <v>913</v>
      </c>
      <c r="J6" s="1336"/>
      <c r="K6" s="1336"/>
      <c r="L6" s="1336"/>
      <c r="M6" s="1336"/>
      <c r="N6" s="1336"/>
      <c r="O6" s="1336"/>
    </row>
    <row r="7" spans="1:15" s="901" customFormat="1" ht="12" customHeight="1">
      <c r="A7" s="807"/>
      <c r="B7" s="807"/>
      <c r="C7" s="808"/>
      <c r="D7" s="808"/>
      <c r="E7" s="805"/>
      <c r="F7" s="806"/>
      <c r="G7" s="817" t="s">
        <v>929</v>
      </c>
      <c r="H7" s="813" t="s">
        <v>931</v>
      </c>
      <c r="I7" s="805" t="s">
        <v>922</v>
      </c>
      <c r="J7" s="902"/>
      <c r="K7" s="805" t="s">
        <v>923</v>
      </c>
      <c r="L7" s="902"/>
      <c r="M7" s="806"/>
      <c r="N7" s="903" t="s">
        <v>924</v>
      </c>
      <c r="O7" s="806"/>
    </row>
    <row r="8" spans="1:15" s="901" customFormat="1" ht="12" customHeight="1">
      <c r="A8" s="904"/>
      <c r="B8" s="904"/>
      <c r="C8" s="816"/>
      <c r="D8" s="816"/>
      <c r="E8" s="817" t="s">
        <v>929</v>
      </c>
      <c r="F8" s="817" t="s">
        <v>930</v>
      </c>
      <c r="G8" s="813" t="s">
        <v>935</v>
      </c>
      <c r="H8" s="813" t="s">
        <v>936</v>
      </c>
      <c r="I8" s="817" t="s">
        <v>932</v>
      </c>
      <c r="J8" s="820" t="s">
        <v>932</v>
      </c>
      <c r="K8" s="813" t="s">
        <v>932</v>
      </c>
      <c r="L8" s="820" t="s">
        <v>932</v>
      </c>
      <c r="M8" s="820" t="s">
        <v>932</v>
      </c>
      <c r="N8" s="820" t="s">
        <v>933</v>
      </c>
      <c r="O8" s="820" t="s">
        <v>932</v>
      </c>
    </row>
    <row r="9" spans="1:15" s="901" customFormat="1" ht="12" customHeight="1">
      <c r="A9" s="904"/>
      <c r="B9" s="904"/>
      <c r="C9" s="816"/>
      <c r="D9" s="816"/>
      <c r="E9" s="813" t="s">
        <v>935</v>
      </c>
      <c r="F9" s="817" t="s">
        <v>936</v>
      </c>
      <c r="G9" s="813" t="s">
        <v>26</v>
      </c>
      <c r="H9" s="813"/>
      <c r="I9" s="817" t="s">
        <v>937</v>
      </c>
      <c r="J9" s="817" t="s">
        <v>938</v>
      </c>
      <c r="K9" s="817" t="s">
        <v>937</v>
      </c>
      <c r="L9" s="817" t="s">
        <v>938</v>
      </c>
      <c r="M9" s="817" t="s">
        <v>939</v>
      </c>
      <c r="N9" s="817" t="s">
        <v>940</v>
      </c>
      <c r="O9" s="817" t="s">
        <v>940</v>
      </c>
    </row>
    <row r="10" spans="1:15" s="901" customFormat="1" ht="12" customHeight="1">
      <c r="A10" s="904"/>
      <c r="B10" s="904"/>
      <c r="C10" s="816"/>
      <c r="D10" s="816"/>
      <c r="E10" s="793"/>
      <c r="F10" s="817"/>
      <c r="G10" s="793"/>
      <c r="H10" s="793"/>
      <c r="I10" s="817" t="s">
        <v>941</v>
      </c>
      <c r="J10" s="817" t="s">
        <v>942</v>
      </c>
      <c r="K10" s="817" t="s">
        <v>941</v>
      </c>
      <c r="L10" s="817" t="s">
        <v>940</v>
      </c>
      <c r="M10" s="817" t="s">
        <v>942</v>
      </c>
      <c r="N10" s="813"/>
      <c r="O10" s="813"/>
    </row>
    <row r="11" spans="1:15" s="901" customFormat="1" ht="12" customHeight="1">
      <c r="A11" s="821"/>
      <c r="B11" s="821"/>
      <c r="C11" s="821"/>
      <c r="D11" s="821"/>
      <c r="E11" s="822"/>
      <c r="F11" s="822"/>
      <c r="G11" s="822"/>
      <c r="H11" s="822"/>
      <c r="I11" s="793"/>
      <c r="J11" s="817" t="s">
        <v>940</v>
      </c>
      <c r="K11" s="793"/>
      <c r="L11" s="793"/>
      <c r="M11" s="817" t="s">
        <v>940</v>
      </c>
      <c r="N11" s="793"/>
      <c r="O11" s="793"/>
    </row>
    <row r="12" spans="1:15" s="901" customFormat="1" ht="6" customHeight="1">
      <c r="A12" s="794"/>
      <c r="B12" s="794"/>
      <c r="C12" s="795"/>
      <c r="D12" s="795"/>
      <c r="E12" s="796"/>
      <c r="F12" s="796"/>
      <c r="G12" s="796"/>
      <c r="H12" s="796"/>
      <c r="I12" s="796"/>
      <c r="J12" s="795"/>
      <c r="K12" s="795"/>
      <c r="L12" s="796"/>
      <c r="M12" s="796"/>
      <c r="N12" s="796"/>
      <c r="O12" s="796"/>
    </row>
    <row r="13" spans="1:15" s="901" customFormat="1" ht="3" customHeight="1">
      <c r="A13" s="905"/>
      <c r="G13" s="901" t="s">
        <v>26</v>
      </c>
    </row>
    <row r="14" spans="1:15" ht="3" customHeight="1">
      <c r="B14" s="821"/>
      <c r="C14" s="821"/>
      <c r="D14" s="816"/>
      <c r="E14" s="828"/>
      <c r="F14" s="828"/>
      <c r="G14" s="828"/>
      <c r="H14" s="828"/>
      <c r="I14" s="828"/>
      <c r="J14" s="901"/>
      <c r="K14" s="828"/>
      <c r="L14" s="901"/>
      <c r="M14" s="828"/>
    </row>
    <row r="15" spans="1:15" ht="12" customHeight="1">
      <c r="A15" s="887" t="s">
        <v>1025</v>
      </c>
      <c r="B15" s="821"/>
      <c r="C15" s="821"/>
      <c r="D15" s="816"/>
      <c r="E15" s="823">
        <v>3670</v>
      </c>
      <c r="F15" s="823">
        <v>3410</v>
      </c>
      <c r="G15" s="823">
        <v>4640</v>
      </c>
      <c r="H15" s="823">
        <v>6340</v>
      </c>
      <c r="I15" s="823">
        <v>650</v>
      </c>
      <c r="J15" s="823">
        <v>590</v>
      </c>
      <c r="K15" s="823">
        <v>2140</v>
      </c>
      <c r="L15" s="823">
        <v>2710</v>
      </c>
      <c r="M15" s="823">
        <v>890</v>
      </c>
      <c r="N15" s="823">
        <v>2330</v>
      </c>
      <c r="O15" s="823">
        <v>1130</v>
      </c>
    </row>
    <row r="16" spans="1:15" s="827" customFormat="1" ht="12" customHeight="1">
      <c r="A16" s="906" t="s">
        <v>1026</v>
      </c>
      <c r="B16" s="825"/>
      <c r="C16" s="825"/>
      <c r="D16" s="826"/>
      <c r="E16" s="823">
        <v>670</v>
      </c>
      <c r="F16" s="823">
        <v>800</v>
      </c>
      <c r="G16" s="823">
        <v>920</v>
      </c>
      <c r="H16" s="823">
        <v>1340</v>
      </c>
      <c r="I16" s="823">
        <v>120</v>
      </c>
      <c r="J16" s="823">
        <v>100</v>
      </c>
      <c r="K16" s="823">
        <v>410</v>
      </c>
      <c r="L16" s="823">
        <v>520</v>
      </c>
      <c r="M16" s="823">
        <v>150</v>
      </c>
      <c r="N16" s="823">
        <v>420</v>
      </c>
      <c r="O16" s="823">
        <v>180</v>
      </c>
    </row>
    <row r="17" spans="1:15" s="827" customFormat="1" ht="12" customHeight="1">
      <c r="A17" s="906" t="s">
        <v>1027</v>
      </c>
      <c r="B17" s="825"/>
      <c r="C17" s="825"/>
      <c r="D17" s="826"/>
      <c r="E17" s="823">
        <v>670</v>
      </c>
      <c r="F17" s="823">
        <v>1590</v>
      </c>
      <c r="G17" s="823">
        <v>920</v>
      </c>
      <c r="H17" s="823">
        <v>2670</v>
      </c>
      <c r="I17" s="823">
        <v>240</v>
      </c>
      <c r="J17" s="823">
        <v>330</v>
      </c>
      <c r="K17" s="823">
        <v>1240</v>
      </c>
      <c r="L17" s="823">
        <v>2090</v>
      </c>
      <c r="M17" s="823">
        <v>810</v>
      </c>
      <c r="N17" s="823">
        <v>1390</v>
      </c>
      <c r="O17" s="823">
        <v>890</v>
      </c>
    </row>
    <row r="18" spans="1:15" s="827" customFormat="1" ht="12" customHeight="1">
      <c r="A18" s="906" t="s">
        <v>1028</v>
      </c>
      <c r="B18" s="825"/>
      <c r="C18" s="825"/>
      <c r="D18" s="826"/>
      <c r="E18" s="823">
        <v>670</v>
      </c>
      <c r="F18" s="823">
        <v>1590</v>
      </c>
      <c r="G18" s="823">
        <v>920</v>
      </c>
      <c r="H18" s="823">
        <v>2670</v>
      </c>
      <c r="I18" s="823">
        <v>120</v>
      </c>
      <c r="J18" s="823">
        <v>100</v>
      </c>
      <c r="K18" s="823">
        <v>830</v>
      </c>
      <c r="L18" s="823">
        <v>1050</v>
      </c>
      <c r="M18" s="823">
        <v>310</v>
      </c>
      <c r="N18" s="823">
        <v>1390</v>
      </c>
      <c r="O18" s="823">
        <v>620</v>
      </c>
    </row>
    <row r="19" spans="1:15" ht="3" customHeight="1">
      <c r="B19" s="821"/>
      <c r="C19" s="821"/>
      <c r="D19" s="816"/>
      <c r="E19" s="828"/>
      <c r="F19" s="828"/>
      <c r="G19" s="828"/>
      <c r="H19" s="828"/>
      <c r="I19" s="828"/>
      <c r="J19" s="828"/>
      <c r="K19" s="828"/>
      <c r="L19" s="828"/>
      <c r="M19" s="828"/>
      <c r="N19" s="828"/>
      <c r="O19" s="828"/>
    </row>
    <row r="20" spans="1:15" s="832" customFormat="1" ht="12" customHeight="1">
      <c r="A20" s="887" t="s">
        <v>1029</v>
      </c>
      <c r="B20" s="831"/>
      <c r="C20" s="831"/>
      <c r="D20" s="829"/>
      <c r="E20" s="907">
        <v>1</v>
      </c>
      <c r="F20" s="907">
        <v>2</v>
      </c>
      <c r="G20" s="907">
        <v>1</v>
      </c>
      <c r="H20" s="907">
        <v>2</v>
      </c>
      <c r="I20" s="907">
        <v>2</v>
      </c>
      <c r="J20" s="907">
        <v>3.3</v>
      </c>
      <c r="K20" s="907">
        <v>3</v>
      </c>
      <c r="L20" s="907">
        <v>4</v>
      </c>
      <c r="M20" s="907">
        <v>5.3</v>
      </c>
      <c r="N20" s="907">
        <v>3.4</v>
      </c>
      <c r="O20" s="907">
        <v>5</v>
      </c>
    </row>
    <row r="21" spans="1:15" ht="3" customHeight="1">
      <c r="A21" s="895"/>
      <c r="B21" s="794"/>
      <c r="C21" s="794"/>
      <c r="D21" s="795"/>
      <c r="E21" s="896"/>
      <c r="F21" s="896"/>
      <c r="G21" s="896"/>
      <c r="H21" s="896"/>
      <c r="I21" s="896"/>
      <c r="J21" s="896"/>
      <c r="K21" s="896"/>
      <c r="L21" s="896"/>
      <c r="M21" s="896"/>
    </row>
    <row r="22" spans="1:15" ht="3" customHeight="1">
      <c r="B22" s="821"/>
      <c r="C22" s="821"/>
      <c r="D22" s="816"/>
      <c r="E22" s="828"/>
      <c r="F22" s="828"/>
      <c r="G22" s="828"/>
      <c r="H22" s="828"/>
      <c r="I22" s="828"/>
      <c r="J22" s="828"/>
      <c r="K22" s="828"/>
      <c r="L22" s="828"/>
      <c r="M22" s="828"/>
      <c r="N22" s="908"/>
      <c r="O22" s="908"/>
    </row>
    <row r="23" spans="1:15" s="834" customFormat="1" ht="12.75" customHeight="1">
      <c r="A23" s="909" t="s">
        <v>1030</v>
      </c>
      <c r="D23" s="835"/>
      <c r="E23" s="1335" t="s">
        <v>1031</v>
      </c>
      <c r="F23" s="1335"/>
      <c r="G23" s="1335"/>
      <c r="H23" s="1335"/>
      <c r="I23" s="1335"/>
      <c r="J23" s="1335"/>
      <c r="K23" s="1335"/>
      <c r="L23" s="1335"/>
      <c r="M23" s="1335"/>
    </row>
    <row r="24" spans="1:15" ht="3" customHeight="1">
      <c r="A24" s="895"/>
      <c r="B24" s="795"/>
      <c r="C24" s="795"/>
      <c r="D24" s="795"/>
      <c r="E24" s="896"/>
      <c r="F24" s="896"/>
      <c r="G24" s="896"/>
      <c r="H24" s="896"/>
      <c r="I24" s="896"/>
      <c r="J24" s="896"/>
      <c r="K24" s="896"/>
      <c r="L24" s="896"/>
      <c r="M24" s="896"/>
      <c r="N24" s="795"/>
      <c r="O24" s="795"/>
    </row>
    <row r="25" spans="1:15" ht="3" customHeight="1">
      <c r="I25" s="890"/>
      <c r="J25" s="890"/>
      <c r="K25" s="890"/>
      <c r="L25" s="890"/>
      <c r="M25" s="890"/>
    </row>
    <row r="26" spans="1:15" s="846" customFormat="1" ht="12.75" customHeight="1">
      <c r="A26" s="910" t="s">
        <v>1054</v>
      </c>
      <c r="B26" s="861" t="s">
        <v>1055</v>
      </c>
      <c r="C26" s="861"/>
      <c r="D26" s="862"/>
      <c r="E26" s="911">
        <v>34.9</v>
      </c>
      <c r="F26" s="911">
        <v>67.900000000000006</v>
      </c>
      <c r="G26" s="911">
        <v>33.5</v>
      </c>
      <c r="H26" s="911">
        <v>63.7</v>
      </c>
      <c r="I26" s="911">
        <v>42.7</v>
      </c>
      <c r="J26" s="911">
        <v>52.3</v>
      </c>
      <c r="K26" s="911">
        <v>74.7</v>
      </c>
      <c r="L26" s="911">
        <v>86.3</v>
      </c>
      <c r="M26" s="911">
        <v>85.5</v>
      </c>
      <c r="N26" s="911">
        <v>87.9</v>
      </c>
      <c r="O26" s="911">
        <v>106.1</v>
      </c>
    </row>
    <row r="27" spans="1:15" ht="3" customHeight="1">
      <c r="B27" s="822"/>
      <c r="C27" s="822"/>
      <c r="I27" s="890"/>
      <c r="J27" s="890"/>
      <c r="K27" s="890"/>
      <c r="L27" s="890"/>
      <c r="M27" s="890"/>
      <c r="N27" s="890"/>
      <c r="O27" s="890"/>
    </row>
    <row r="28" spans="1:15" s="914" customFormat="1" ht="10.5" customHeight="1">
      <c r="A28" s="912" t="s">
        <v>1056</v>
      </c>
      <c r="B28" s="913" t="s">
        <v>66</v>
      </c>
      <c r="C28" s="913"/>
      <c r="E28" s="914">
        <v>32.5</v>
      </c>
      <c r="F28" s="914">
        <v>62.4</v>
      </c>
      <c r="G28" s="914">
        <v>30.1</v>
      </c>
      <c r="H28" s="914">
        <v>57.9</v>
      </c>
      <c r="I28" s="914">
        <v>38.299999999999997</v>
      </c>
      <c r="J28" s="914">
        <v>47.8</v>
      </c>
      <c r="K28" s="914">
        <v>67.7</v>
      </c>
      <c r="L28" s="914">
        <v>78.599999999999994</v>
      </c>
      <c r="M28" s="914">
        <v>77.599999999999994</v>
      </c>
      <c r="N28" s="914">
        <v>79.5</v>
      </c>
      <c r="O28" s="914">
        <v>95.4</v>
      </c>
    </row>
    <row r="29" spans="1:15" s="801" customFormat="1" ht="11.1" customHeight="1">
      <c r="A29" s="915"/>
      <c r="B29" s="898" t="s">
        <v>1057</v>
      </c>
      <c r="C29" s="916" t="s">
        <v>1058</v>
      </c>
      <c r="E29" s="914">
        <v>2.7</v>
      </c>
      <c r="F29" s="914">
        <v>5.0999999999999996</v>
      </c>
      <c r="G29" s="914">
        <v>2.9</v>
      </c>
      <c r="H29" s="914">
        <v>5.2</v>
      </c>
      <c r="I29" s="914">
        <v>3.6</v>
      </c>
      <c r="J29" s="914">
        <v>4.8</v>
      </c>
      <c r="K29" s="914">
        <v>7</v>
      </c>
      <c r="L29" s="914">
        <v>8.3000000000000007</v>
      </c>
      <c r="M29" s="914">
        <v>8.6999999999999993</v>
      </c>
      <c r="N29" s="914">
        <v>7.8</v>
      </c>
      <c r="O29" s="914">
        <v>10.6</v>
      </c>
    </row>
    <row r="30" spans="1:15" s="917" customFormat="1" ht="11.1" customHeight="1">
      <c r="B30" s="898" t="s">
        <v>1059</v>
      </c>
      <c r="C30" s="918" t="s">
        <v>1060</v>
      </c>
      <c r="E30" s="914">
        <v>0.1</v>
      </c>
      <c r="F30" s="914">
        <v>0.2</v>
      </c>
      <c r="G30" s="914">
        <v>0.2</v>
      </c>
      <c r="H30" s="914">
        <v>0.5</v>
      </c>
      <c r="I30" s="914">
        <v>0.4</v>
      </c>
      <c r="J30" s="914">
        <v>0.6</v>
      </c>
      <c r="K30" s="914">
        <v>0.7</v>
      </c>
      <c r="L30" s="914">
        <v>0.7</v>
      </c>
      <c r="M30" s="914">
        <v>0.7</v>
      </c>
      <c r="N30" s="914">
        <v>0.7</v>
      </c>
      <c r="O30" s="914">
        <v>0.8</v>
      </c>
    </row>
    <row r="31" spans="1:15" s="801" customFormat="1" ht="11.1" customHeight="1">
      <c r="A31" s="915"/>
      <c r="B31" s="898" t="s">
        <v>1061</v>
      </c>
      <c r="C31" s="916" t="s">
        <v>1062</v>
      </c>
      <c r="E31" s="914">
        <v>2.6</v>
      </c>
      <c r="F31" s="914">
        <v>4.4000000000000004</v>
      </c>
      <c r="G31" s="914">
        <v>2</v>
      </c>
      <c r="H31" s="914">
        <v>3.9</v>
      </c>
      <c r="I31" s="914">
        <v>2.8</v>
      </c>
      <c r="J31" s="914">
        <v>4.4000000000000004</v>
      </c>
      <c r="K31" s="914">
        <v>5.2</v>
      </c>
      <c r="L31" s="914">
        <v>6.2</v>
      </c>
      <c r="M31" s="914">
        <v>5.9</v>
      </c>
      <c r="N31" s="914">
        <v>5.5</v>
      </c>
      <c r="O31" s="914">
        <v>8.1</v>
      </c>
    </row>
    <row r="32" spans="1:15" s="917" customFormat="1" ht="11.1" customHeight="1">
      <c r="B32" s="898" t="s">
        <v>1063</v>
      </c>
      <c r="C32" s="918" t="s">
        <v>1064</v>
      </c>
      <c r="E32" s="914">
        <v>0.3</v>
      </c>
      <c r="F32" s="914">
        <v>0.7</v>
      </c>
      <c r="G32" s="914">
        <v>0.6</v>
      </c>
      <c r="H32" s="914">
        <v>1</v>
      </c>
      <c r="I32" s="914">
        <v>1.2</v>
      </c>
      <c r="J32" s="914">
        <v>1</v>
      </c>
      <c r="K32" s="914">
        <v>1.3</v>
      </c>
      <c r="L32" s="914">
        <v>1.8</v>
      </c>
      <c r="M32" s="914">
        <v>2</v>
      </c>
      <c r="N32" s="914">
        <v>1.4</v>
      </c>
      <c r="O32" s="914">
        <v>2</v>
      </c>
    </row>
    <row r="33" spans="1:15" s="914" customFormat="1" ht="3" customHeight="1">
      <c r="A33" s="887"/>
      <c r="B33" s="913"/>
    </row>
    <row r="34" spans="1:15" s="801" customFormat="1" ht="11.1" customHeight="1">
      <c r="A34" s="915"/>
      <c r="B34" s="898" t="s">
        <v>1065</v>
      </c>
      <c r="C34" s="801" t="s">
        <v>1066</v>
      </c>
      <c r="E34" s="914">
        <v>1</v>
      </c>
      <c r="F34" s="914">
        <v>2.2999999999999998</v>
      </c>
      <c r="G34" s="914">
        <v>0.7</v>
      </c>
      <c r="H34" s="914">
        <v>1.8</v>
      </c>
      <c r="I34" s="914">
        <v>1</v>
      </c>
      <c r="J34" s="914">
        <v>1.6</v>
      </c>
      <c r="K34" s="914">
        <v>2.1</v>
      </c>
      <c r="L34" s="914">
        <v>2.2999999999999998</v>
      </c>
      <c r="M34" s="914">
        <v>1.8</v>
      </c>
      <c r="N34" s="914">
        <v>2.8</v>
      </c>
      <c r="O34" s="914">
        <v>3.1</v>
      </c>
    </row>
    <row r="35" spans="1:15" s="801" customFormat="1" ht="11.1" customHeight="1">
      <c r="A35" s="915"/>
      <c r="B35" s="898" t="s">
        <v>1067</v>
      </c>
      <c r="C35" s="916" t="s">
        <v>1068</v>
      </c>
      <c r="E35" s="914">
        <v>0.3</v>
      </c>
      <c r="F35" s="914">
        <v>0.7</v>
      </c>
      <c r="G35" s="914">
        <v>0.2</v>
      </c>
      <c r="H35" s="914">
        <v>0.5</v>
      </c>
      <c r="I35" s="919">
        <v>0.3</v>
      </c>
      <c r="J35" s="919">
        <v>0.3</v>
      </c>
      <c r="K35" s="914">
        <v>0.6</v>
      </c>
      <c r="L35" s="914">
        <v>0.7</v>
      </c>
      <c r="M35" s="914">
        <v>0.6</v>
      </c>
      <c r="N35" s="914">
        <v>0.7</v>
      </c>
      <c r="O35" s="914">
        <v>0.6</v>
      </c>
    </row>
    <row r="36" spans="1:15" s="917" customFormat="1" ht="11.1" customHeight="1">
      <c r="B36" s="898" t="s">
        <v>1069</v>
      </c>
      <c r="C36" s="918" t="s">
        <v>1070</v>
      </c>
      <c r="E36" s="914">
        <v>0.4</v>
      </c>
      <c r="F36" s="914">
        <v>0.8</v>
      </c>
      <c r="G36" s="914">
        <v>0.2</v>
      </c>
      <c r="H36" s="914">
        <v>0.6</v>
      </c>
      <c r="I36" s="920" t="s">
        <v>1036</v>
      </c>
      <c r="J36" s="920" t="s">
        <v>1036</v>
      </c>
      <c r="K36" s="914">
        <v>0.4</v>
      </c>
      <c r="L36" s="914">
        <v>0.5</v>
      </c>
      <c r="M36" s="920" t="s">
        <v>1036</v>
      </c>
      <c r="N36" s="914">
        <v>0.6</v>
      </c>
      <c r="O36" s="914">
        <v>0.8</v>
      </c>
    </row>
    <row r="37" spans="1:15" s="921" customFormat="1" ht="11.1" customHeight="1">
      <c r="B37" s="898" t="s">
        <v>1071</v>
      </c>
      <c r="C37" s="922" t="s">
        <v>1072</v>
      </c>
      <c r="E37" s="914">
        <v>0.8</v>
      </c>
      <c r="F37" s="914">
        <v>2</v>
      </c>
      <c r="G37" s="914">
        <v>1.1000000000000001</v>
      </c>
      <c r="H37" s="914">
        <v>2.4</v>
      </c>
      <c r="I37" s="914">
        <v>1.1000000000000001</v>
      </c>
      <c r="J37" s="914">
        <v>2</v>
      </c>
      <c r="K37" s="914">
        <v>2.8</v>
      </c>
      <c r="L37" s="914">
        <v>3.1</v>
      </c>
      <c r="M37" s="914">
        <v>3</v>
      </c>
      <c r="N37" s="914">
        <v>3.2</v>
      </c>
      <c r="O37" s="914">
        <v>4.5</v>
      </c>
    </row>
    <row r="38" spans="1:15" s="801" customFormat="1" ht="11.1" customHeight="1">
      <c r="A38" s="915"/>
      <c r="B38" s="898" t="s">
        <v>1073</v>
      </c>
      <c r="C38" s="916" t="s">
        <v>1074</v>
      </c>
      <c r="E38" s="914">
        <v>0.4</v>
      </c>
      <c r="F38" s="914">
        <v>0.9</v>
      </c>
      <c r="G38" s="914">
        <v>0.4</v>
      </c>
      <c r="H38" s="914">
        <v>0.9</v>
      </c>
      <c r="I38" s="914">
        <v>0.4</v>
      </c>
      <c r="J38" s="914">
        <v>0.4</v>
      </c>
      <c r="K38" s="914">
        <v>0.8</v>
      </c>
      <c r="L38" s="914">
        <v>0.9</v>
      </c>
      <c r="M38" s="914">
        <v>0.8</v>
      </c>
      <c r="N38" s="914">
        <v>1.2</v>
      </c>
      <c r="O38" s="914">
        <v>1</v>
      </c>
    </row>
    <row r="39" spans="1:15" s="917" customFormat="1" ht="11.1" customHeight="1">
      <c r="B39" s="898" t="s">
        <v>1075</v>
      </c>
      <c r="C39" s="918" t="s">
        <v>1076</v>
      </c>
      <c r="E39" s="914">
        <v>4.2</v>
      </c>
      <c r="F39" s="914">
        <v>7.3</v>
      </c>
      <c r="G39" s="914">
        <v>4.0999999999999996</v>
      </c>
      <c r="H39" s="914">
        <v>7</v>
      </c>
      <c r="I39" s="914">
        <v>4.0999999999999996</v>
      </c>
      <c r="J39" s="914">
        <v>5.6</v>
      </c>
      <c r="K39" s="914">
        <v>8</v>
      </c>
      <c r="L39" s="914">
        <v>8.6</v>
      </c>
      <c r="M39" s="914">
        <v>9.5</v>
      </c>
      <c r="N39" s="914">
        <v>9.4</v>
      </c>
      <c r="O39" s="914">
        <v>11.3</v>
      </c>
    </row>
    <row r="40" spans="1:15" s="917" customFormat="1" ht="3" customHeight="1">
      <c r="A40" s="898"/>
      <c r="B40" s="918"/>
      <c r="E40" s="914"/>
      <c r="F40" s="914"/>
      <c r="G40" s="914"/>
      <c r="H40" s="914"/>
      <c r="I40" s="914"/>
      <c r="J40" s="914"/>
      <c r="K40" s="914"/>
      <c r="L40" s="914"/>
      <c r="M40" s="914"/>
      <c r="N40" s="914"/>
      <c r="O40" s="914"/>
    </row>
    <row r="41" spans="1:15" s="917" customFormat="1" ht="11.1" customHeight="1">
      <c r="B41" s="898" t="s">
        <v>1077</v>
      </c>
      <c r="C41" s="918" t="s">
        <v>1078</v>
      </c>
      <c r="E41" s="914">
        <v>2.2999999999999998</v>
      </c>
      <c r="F41" s="914">
        <v>4.5</v>
      </c>
      <c r="G41" s="914">
        <v>1.6</v>
      </c>
      <c r="H41" s="914">
        <v>3.3</v>
      </c>
      <c r="I41" s="914">
        <v>1.9</v>
      </c>
      <c r="J41" s="914">
        <v>1.6</v>
      </c>
      <c r="K41" s="914">
        <v>2.7</v>
      </c>
      <c r="L41" s="914">
        <v>3.1</v>
      </c>
      <c r="M41" s="914">
        <v>3.2</v>
      </c>
      <c r="N41" s="914">
        <v>4</v>
      </c>
      <c r="O41" s="914">
        <v>3.5</v>
      </c>
    </row>
    <row r="42" spans="1:15" s="801" customFormat="1" ht="3" customHeight="1">
      <c r="A42" s="898"/>
      <c r="E42" s="914"/>
      <c r="F42" s="914"/>
      <c r="G42" s="914"/>
      <c r="H42" s="914"/>
      <c r="I42" s="914"/>
      <c r="J42" s="914"/>
      <c r="K42" s="914"/>
      <c r="L42" s="914"/>
      <c r="M42" s="914"/>
      <c r="N42" s="914"/>
      <c r="O42" s="914"/>
    </row>
    <row r="43" spans="1:15" s="801" customFormat="1" ht="11.1" customHeight="1">
      <c r="A43" s="915"/>
      <c r="B43" s="898" t="s">
        <v>1079</v>
      </c>
      <c r="C43" s="916" t="s">
        <v>1080</v>
      </c>
      <c r="E43" s="914">
        <v>1.4</v>
      </c>
      <c r="F43" s="914">
        <v>2.2999999999999998</v>
      </c>
      <c r="G43" s="914">
        <v>1</v>
      </c>
      <c r="H43" s="914">
        <v>1.6</v>
      </c>
      <c r="I43" s="914">
        <v>1.3</v>
      </c>
      <c r="J43" s="914">
        <v>1.3</v>
      </c>
      <c r="K43" s="914">
        <v>2.2999999999999998</v>
      </c>
      <c r="L43" s="914">
        <v>2.8</v>
      </c>
      <c r="M43" s="914">
        <v>3.4</v>
      </c>
      <c r="N43" s="914">
        <v>2.2999999999999998</v>
      </c>
      <c r="O43" s="914">
        <v>2.7</v>
      </c>
    </row>
    <row r="44" spans="1:15" s="917" customFormat="1" ht="11.1" customHeight="1">
      <c r="B44" s="898" t="s">
        <v>1081</v>
      </c>
      <c r="C44" s="918" t="s">
        <v>1082</v>
      </c>
      <c r="E44" s="914">
        <v>1.1000000000000001</v>
      </c>
      <c r="F44" s="914">
        <v>2.2000000000000002</v>
      </c>
      <c r="G44" s="914">
        <v>1.1000000000000001</v>
      </c>
      <c r="H44" s="914">
        <v>2.2999999999999998</v>
      </c>
      <c r="I44" s="914">
        <v>1.5</v>
      </c>
      <c r="J44" s="914">
        <v>1.5</v>
      </c>
      <c r="K44" s="914">
        <v>2.8</v>
      </c>
      <c r="L44" s="914">
        <v>3.2</v>
      </c>
      <c r="M44" s="914">
        <v>3.2</v>
      </c>
      <c r="N44" s="914">
        <v>3.2</v>
      </c>
      <c r="O44" s="914">
        <v>3.2</v>
      </c>
    </row>
    <row r="45" spans="1:15" s="921" customFormat="1" ht="11.1" customHeight="1">
      <c r="B45" s="898" t="s">
        <v>1083</v>
      </c>
      <c r="C45" s="922" t="s">
        <v>1084</v>
      </c>
      <c r="E45" s="914">
        <v>0.4</v>
      </c>
      <c r="F45" s="914">
        <v>0.9</v>
      </c>
      <c r="G45" s="914">
        <v>0.4</v>
      </c>
      <c r="H45" s="914">
        <v>0.8</v>
      </c>
      <c r="I45" s="914">
        <v>0.5</v>
      </c>
      <c r="J45" s="914">
        <v>0.6</v>
      </c>
      <c r="K45" s="914">
        <v>0.9</v>
      </c>
      <c r="L45" s="914">
        <v>1.1000000000000001</v>
      </c>
      <c r="M45" s="914">
        <v>0.8</v>
      </c>
      <c r="N45" s="914">
        <v>0.8</v>
      </c>
      <c r="O45" s="914">
        <v>1.3</v>
      </c>
    </row>
    <row r="46" spans="1:15" s="801" customFormat="1" ht="11.1" customHeight="1">
      <c r="A46" s="915"/>
      <c r="B46" s="898" t="s">
        <v>1085</v>
      </c>
      <c r="C46" s="916" t="s">
        <v>1086</v>
      </c>
      <c r="E46" s="914">
        <v>1.6</v>
      </c>
      <c r="F46" s="914">
        <v>2.7</v>
      </c>
      <c r="G46" s="914">
        <v>1.3</v>
      </c>
      <c r="H46" s="914">
        <v>2.7</v>
      </c>
      <c r="I46" s="914">
        <v>1.8</v>
      </c>
      <c r="J46" s="914">
        <v>2.4</v>
      </c>
      <c r="K46" s="914">
        <v>2.9</v>
      </c>
      <c r="L46" s="914">
        <v>3.5</v>
      </c>
      <c r="M46" s="914">
        <v>3.2</v>
      </c>
      <c r="N46" s="914">
        <v>3.2</v>
      </c>
      <c r="O46" s="914">
        <v>3.5</v>
      </c>
    </row>
    <row r="47" spans="1:15" s="917" customFormat="1" ht="3" customHeight="1">
      <c r="A47" s="898"/>
      <c r="B47" s="918"/>
      <c r="E47" s="914"/>
      <c r="F47" s="914"/>
      <c r="G47" s="914"/>
      <c r="H47" s="914"/>
      <c r="I47" s="914"/>
      <c r="J47" s="914"/>
      <c r="K47" s="914"/>
      <c r="L47" s="914"/>
      <c r="M47" s="914"/>
      <c r="N47" s="914"/>
      <c r="O47" s="914"/>
    </row>
    <row r="48" spans="1:15" s="917" customFormat="1" ht="11.1" customHeight="1">
      <c r="B48" s="898" t="s">
        <v>1087</v>
      </c>
      <c r="C48" s="918" t="s">
        <v>1088</v>
      </c>
      <c r="E48" s="914">
        <v>0.3</v>
      </c>
      <c r="F48" s="914">
        <v>0.7</v>
      </c>
      <c r="G48" s="914">
        <v>0.2</v>
      </c>
      <c r="H48" s="914">
        <v>0.4</v>
      </c>
      <c r="I48" s="914">
        <v>0.3</v>
      </c>
      <c r="J48" s="919">
        <v>0.3</v>
      </c>
      <c r="K48" s="914">
        <v>0.4</v>
      </c>
      <c r="L48" s="914">
        <v>0.6</v>
      </c>
      <c r="M48" s="914">
        <v>0.6</v>
      </c>
      <c r="N48" s="914">
        <v>0.8</v>
      </c>
      <c r="O48" s="914">
        <v>0.7</v>
      </c>
    </row>
    <row r="49" spans="2:15" s="917" customFormat="1" ht="11.1" customHeight="1">
      <c r="B49" s="898" t="s">
        <v>1089</v>
      </c>
      <c r="C49" s="918" t="s">
        <v>1090</v>
      </c>
      <c r="E49" s="914">
        <v>0.5</v>
      </c>
      <c r="F49" s="914">
        <v>0.8</v>
      </c>
      <c r="G49" s="914">
        <v>0.3</v>
      </c>
      <c r="H49" s="914">
        <v>0.6</v>
      </c>
      <c r="I49" s="914">
        <v>0.4</v>
      </c>
      <c r="J49" s="914">
        <v>0.4</v>
      </c>
      <c r="K49" s="914">
        <v>0.6</v>
      </c>
      <c r="L49" s="914">
        <v>0.6</v>
      </c>
      <c r="M49" s="914">
        <v>0.7</v>
      </c>
      <c r="N49" s="914">
        <v>0.8</v>
      </c>
      <c r="O49" s="914">
        <v>0.8</v>
      </c>
    </row>
    <row r="50" spans="2:15" s="917" customFormat="1" ht="11.1" customHeight="1">
      <c r="B50" s="898" t="s">
        <v>1091</v>
      </c>
      <c r="C50" s="918" t="s">
        <v>1092</v>
      </c>
      <c r="E50" s="914">
        <v>0.2</v>
      </c>
      <c r="F50" s="914">
        <v>0.4</v>
      </c>
      <c r="G50" s="914">
        <v>0.2</v>
      </c>
      <c r="H50" s="914">
        <v>0.4</v>
      </c>
      <c r="I50" s="914">
        <v>0.2</v>
      </c>
      <c r="J50" s="919">
        <v>0.2</v>
      </c>
      <c r="K50" s="914">
        <v>0.3</v>
      </c>
      <c r="L50" s="914">
        <v>0.5</v>
      </c>
      <c r="M50" s="914">
        <v>0.4</v>
      </c>
      <c r="N50" s="914">
        <v>0.4</v>
      </c>
      <c r="O50" s="914">
        <v>0.5</v>
      </c>
    </row>
    <row r="51" spans="2:15" s="917" customFormat="1" ht="6" customHeight="1">
      <c r="B51" s="898"/>
      <c r="C51" s="918"/>
      <c r="E51" s="914"/>
      <c r="F51" s="914"/>
      <c r="G51" s="914"/>
      <c r="H51" s="914"/>
      <c r="I51" s="914"/>
      <c r="J51" s="914"/>
      <c r="K51" s="914"/>
      <c r="L51" s="914"/>
      <c r="M51" s="914"/>
      <c r="N51" s="914"/>
      <c r="O51" s="914"/>
    </row>
    <row r="52" spans="2:15" s="917" customFormat="1" ht="11.1" customHeight="1">
      <c r="B52" s="898" t="s">
        <v>1093</v>
      </c>
      <c r="C52" s="918" t="s">
        <v>1094</v>
      </c>
      <c r="E52" s="914">
        <v>2.8</v>
      </c>
      <c r="F52" s="914">
        <v>5.0999999999999996</v>
      </c>
      <c r="G52" s="914">
        <v>2</v>
      </c>
      <c r="H52" s="914">
        <v>3.6</v>
      </c>
      <c r="I52" s="914">
        <v>3</v>
      </c>
      <c r="J52" s="914">
        <v>3</v>
      </c>
      <c r="K52" s="914">
        <v>4.5999999999999996</v>
      </c>
      <c r="L52" s="914">
        <v>5.4</v>
      </c>
      <c r="M52" s="914">
        <v>5.2</v>
      </c>
      <c r="N52" s="914">
        <v>4.5999999999999996</v>
      </c>
      <c r="O52" s="914">
        <v>5.4</v>
      </c>
    </row>
    <row r="53" spans="2:15" s="917" customFormat="1" ht="11.1" customHeight="1">
      <c r="B53" s="898" t="s">
        <v>1095</v>
      </c>
      <c r="C53" s="918" t="s">
        <v>1096</v>
      </c>
      <c r="E53" s="914">
        <v>0.2</v>
      </c>
      <c r="F53" s="914">
        <v>0.5</v>
      </c>
      <c r="G53" s="914">
        <v>0.3</v>
      </c>
      <c r="H53" s="914">
        <v>0.4</v>
      </c>
      <c r="I53" s="914">
        <v>0.5</v>
      </c>
      <c r="J53" s="914">
        <v>0.5</v>
      </c>
      <c r="K53" s="914">
        <v>0.6</v>
      </c>
      <c r="L53" s="914">
        <v>0.7</v>
      </c>
      <c r="M53" s="914">
        <v>0.6</v>
      </c>
      <c r="N53" s="914">
        <v>0.6</v>
      </c>
      <c r="O53" s="914">
        <v>0.8</v>
      </c>
    </row>
    <row r="54" spans="2:15" s="917" customFormat="1" ht="11.1" customHeight="1">
      <c r="B54" s="898" t="s">
        <v>1097</v>
      </c>
      <c r="C54" s="918" t="s">
        <v>1098</v>
      </c>
      <c r="E54" s="914">
        <v>0.5</v>
      </c>
      <c r="F54" s="914">
        <v>1.3</v>
      </c>
      <c r="G54" s="914">
        <v>0.4</v>
      </c>
      <c r="H54" s="914">
        <v>0.9</v>
      </c>
      <c r="I54" s="914">
        <v>0.3</v>
      </c>
      <c r="J54" s="914">
        <v>0.6</v>
      </c>
      <c r="K54" s="914">
        <v>0.9</v>
      </c>
      <c r="L54" s="914">
        <v>1.1000000000000001</v>
      </c>
      <c r="M54" s="914">
        <v>0.8</v>
      </c>
      <c r="N54" s="914">
        <v>1.2</v>
      </c>
      <c r="O54" s="914">
        <v>1.5</v>
      </c>
    </row>
    <row r="55" spans="2:15" s="917" customFormat="1" ht="11.1" customHeight="1">
      <c r="B55" s="898" t="s">
        <v>1099</v>
      </c>
      <c r="C55" s="918" t="s">
        <v>1100</v>
      </c>
      <c r="E55" s="914">
        <v>0.1</v>
      </c>
      <c r="F55" s="914">
        <v>0.3</v>
      </c>
      <c r="G55" s="914">
        <v>0.1</v>
      </c>
      <c r="H55" s="914">
        <v>0.1</v>
      </c>
      <c r="I55" s="920">
        <v>0.1</v>
      </c>
      <c r="J55" s="919">
        <v>0.1</v>
      </c>
      <c r="K55" s="914">
        <v>0.2</v>
      </c>
      <c r="L55" s="914">
        <v>0.1</v>
      </c>
      <c r="M55" s="914">
        <v>0.1</v>
      </c>
      <c r="N55" s="914">
        <v>0.2</v>
      </c>
      <c r="O55" s="914">
        <v>0.1</v>
      </c>
    </row>
    <row r="56" spans="2:15" s="917" customFormat="1" ht="3" customHeight="1">
      <c r="B56" s="898"/>
      <c r="C56" s="918"/>
      <c r="E56" s="914"/>
      <c r="F56" s="914"/>
      <c r="G56" s="914"/>
      <c r="H56" s="914"/>
      <c r="I56" s="914"/>
      <c r="J56" s="914"/>
      <c r="K56" s="914"/>
      <c r="L56" s="914"/>
      <c r="M56" s="914"/>
      <c r="N56" s="914"/>
      <c r="O56" s="914"/>
    </row>
    <row r="57" spans="2:15" s="917" customFormat="1" ht="11.1" customHeight="1">
      <c r="B57" s="898" t="s">
        <v>1101</v>
      </c>
      <c r="C57" s="918" t="s">
        <v>1102</v>
      </c>
      <c r="E57" s="914">
        <v>2.2999999999999998</v>
      </c>
      <c r="F57" s="914">
        <v>4.9000000000000004</v>
      </c>
      <c r="G57" s="914">
        <v>2.2000000000000002</v>
      </c>
      <c r="H57" s="914">
        <v>4.7</v>
      </c>
      <c r="I57" s="914">
        <v>2.8</v>
      </c>
      <c r="J57" s="914">
        <v>2.7</v>
      </c>
      <c r="K57" s="914">
        <v>5.0999999999999996</v>
      </c>
      <c r="L57" s="914">
        <v>5.6</v>
      </c>
      <c r="M57" s="914">
        <v>4.2</v>
      </c>
      <c r="N57" s="914">
        <v>5.8</v>
      </c>
      <c r="O57" s="914">
        <v>6.4</v>
      </c>
    </row>
    <row r="58" spans="2:15" s="917" customFormat="1" ht="11.1" customHeight="1">
      <c r="B58" s="898" t="s">
        <v>1103</v>
      </c>
      <c r="C58" s="918" t="s">
        <v>1104</v>
      </c>
      <c r="E58" s="923">
        <v>0</v>
      </c>
      <c r="F58" s="914">
        <v>0.1</v>
      </c>
      <c r="G58" s="924">
        <v>0</v>
      </c>
      <c r="H58" s="914">
        <v>0.1</v>
      </c>
      <c r="I58" s="844" t="s">
        <v>1036</v>
      </c>
      <c r="J58" s="844" t="s">
        <v>1036</v>
      </c>
      <c r="K58" s="914">
        <v>0.1</v>
      </c>
      <c r="L58" s="914">
        <v>0.1</v>
      </c>
      <c r="M58" s="844" t="s">
        <v>1036</v>
      </c>
      <c r="N58" s="914">
        <v>0.1</v>
      </c>
      <c r="O58" s="919">
        <v>0.3</v>
      </c>
    </row>
    <row r="59" spans="2:15" s="917" customFormat="1" ht="11.1" customHeight="1">
      <c r="B59" s="898" t="s">
        <v>1105</v>
      </c>
      <c r="C59" s="918" t="s">
        <v>1106</v>
      </c>
      <c r="E59" s="914">
        <v>0.9</v>
      </c>
      <c r="F59" s="914">
        <v>1.6</v>
      </c>
      <c r="G59" s="914">
        <v>1.1000000000000001</v>
      </c>
      <c r="H59" s="914">
        <v>2.4</v>
      </c>
      <c r="I59" s="914">
        <v>1.5</v>
      </c>
      <c r="J59" s="914">
        <v>1.1000000000000001</v>
      </c>
      <c r="K59" s="914">
        <v>2.4</v>
      </c>
      <c r="L59" s="914">
        <v>2.8</v>
      </c>
      <c r="M59" s="914">
        <v>2</v>
      </c>
      <c r="N59" s="914">
        <v>3.3</v>
      </c>
      <c r="O59" s="914">
        <v>2.7</v>
      </c>
    </row>
    <row r="60" spans="2:15" s="917" customFormat="1" ht="11.1" customHeight="1">
      <c r="B60" s="898" t="s">
        <v>1107</v>
      </c>
      <c r="C60" s="918" t="s">
        <v>1108</v>
      </c>
      <c r="E60" s="914">
        <v>0.4</v>
      </c>
      <c r="F60" s="914">
        <v>0.9</v>
      </c>
      <c r="G60" s="914">
        <v>0.3</v>
      </c>
      <c r="H60" s="914">
        <v>0.5</v>
      </c>
      <c r="I60" s="914">
        <v>0.4</v>
      </c>
      <c r="J60" s="914">
        <v>0.3</v>
      </c>
      <c r="K60" s="914">
        <v>0.5</v>
      </c>
      <c r="L60" s="914">
        <v>0.7</v>
      </c>
      <c r="M60" s="914">
        <v>0.7</v>
      </c>
      <c r="N60" s="914">
        <v>0.8</v>
      </c>
      <c r="O60" s="914">
        <v>0.9</v>
      </c>
    </row>
    <row r="61" spans="2:15" s="917" customFormat="1" ht="11.1" customHeight="1">
      <c r="B61" s="898" t="s">
        <v>1109</v>
      </c>
      <c r="C61" s="918" t="s">
        <v>1110</v>
      </c>
      <c r="E61" s="914">
        <v>0.8</v>
      </c>
      <c r="F61" s="914">
        <v>1.5</v>
      </c>
      <c r="G61" s="914">
        <v>1.1000000000000001</v>
      </c>
      <c r="H61" s="914">
        <v>1.8</v>
      </c>
      <c r="I61" s="914">
        <v>1.6</v>
      </c>
      <c r="J61" s="914">
        <v>2.2999999999999998</v>
      </c>
      <c r="K61" s="914">
        <v>2.5</v>
      </c>
      <c r="L61" s="914">
        <v>3</v>
      </c>
      <c r="M61" s="914">
        <v>3.5</v>
      </c>
      <c r="N61" s="914">
        <v>2.8</v>
      </c>
      <c r="O61" s="914">
        <v>4.5</v>
      </c>
    </row>
    <row r="62" spans="2:15" s="917" customFormat="1" ht="4.5" customHeight="1">
      <c r="B62" s="898"/>
      <c r="C62" s="918"/>
      <c r="E62" s="914"/>
      <c r="F62" s="914"/>
      <c r="G62" s="914"/>
      <c r="H62" s="914"/>
      <c r="I62" s="914"/>
      <c r="J62" s="914"/>
      <c r="K62" s="914"/>
      <c r="L62" s="914"/>
      <c r="M62" s="914"/>
      <c r="N62" s="914"/>
      <c r="O62" s="914"/>
    </row>
    <row r="63" spans="2:15" s="917" customFormat="1" ht="11.1" customHeight="1">
      <c r="B63" s="898" t="s">
        <v>1111</v>
      </c>
      <c r="C63" s="918" t="s">
        <v>1112</v>
      </c>
      <c r="E63" s="914">
        <v>0.2</v>
      </c>
      <c r="F63" s="914">
        <v>0.4</v>
      </c>
      <c r="G63" s="914">
        <v>0.2</v>
      </c>
      <c r="H63" s="914">
        <v>0.3</v>
      </c>
      <c r="I63" s="914">
        <v>0.2</v>
      </c>
      <c r="J63" s="914">
        <v>0.3</v>
      </c>
      <c r="K63" s="914">
        <v>0.4</v>
      </c>
      <c r="L63" s="914">
        <v>0.6</v>
      </c>
      <c r="M63" s="914">
        <v>0.7</v>
      </c>
      <c r="N63" s="914">
        <v>0.5</v>
      </c>
      <c r="O63" s="914">
        <v>1</v>
      </c>
    </row>
    <row r="64" spans="2:15" s="917" customFormat="1" ht="11.1" customHeight="1">
      <c r="B64" s="898" t="s">
        <v>1113</v>
      </c>
      <c r="C64" s="918" t="s">
        <v>1114</v>
      </c>
      <c r="E64" s="914">
        <v>0.3</v>
      </c>
      <c r="F64" s="914">
        <v>0.5</v>
      </c>
      <c r="G64" s="914">
        <v>0.2</v>
      </c>
      <c r="H64" s="914">
        <v>0.3</v>
      </c>
      <c r="I64" s="914">
        <v>0.2</v>
      </c>
      <c r="J64" s="914">
        <v>0.2</v>
      </c>
      <c r="K64" s="914">
        <v>0.4</v>
      </c>
      <c r="L64" s="914">
        <v>0.4</v>
      </c>
      <c r="M64" s="914">
        <v>0.3</v>
      </c>
      <c r="N64" s="914">
        <v>0.5</v>
      </c>
      <c r="O64" s="914">
        <v>0.4</v>
      </c>
    </row>
    <row r="65" spans="1:15" s="917" customFormat="1" ht="11.1" customHeight="1">
      <c r="B65" s="898" t="s">
        <v>1115</v>
      </c>
      <c r="C65" s="918" t="s">
        <v>1116</v>
      </c>
      <c r="E65" s="914">
        <v>1.3</v>
      </c>
      <c r="F65" s="914">
        <v>2.2000000000000002</v>
      </c>
      <c r="G65" s="914">
        <v>1.2</v>
      </c>
      <c r="H65" s="914">
        <v>2.2000000000000002</v>
      </c>
      <c r="I65" s="914">
        <v>1.9</v>
      </c>
      <c r="J65" s="914">
        <v>2.7</v>
      </c>
      <c r="K65" s="914">
        <v>2.6</v>
      </c>
      <c r="L65" s="914">
        <v>3.1</v>
      </c>
      <c r="M65" s="914">
        <v>3.7</v>
      </c>
      <c r="N65" s="914">
        <v>3.6</v>
      </c>
      <c r="O65" s="914">
        <v>4</v>
      </c>
    </row>
    <row r="66" spans="1:15" s="917" customFormat="1" ht="11.1" customHeight="1">
      <c r="B66" s="898" t="s">
        <v>1117</v>
      </c>
      <c r="C66" s="918" t="s">
        <v>1118</v>
      </c>
      <c r="E66" s="914">
        <v>0.4</v>
      </c>
      <c r="F66" s="914">
        <v>0.7</v>
      </c>
      <c r="G66" s="914">
        <v>0.4</v>
      </c>
      <c r="H66" s="914">
        <v>0.7</v>
      </c>
      <c r="I66" s="914">
        <v>0.9</v>
      </c>
      <c r="J66" s="914">
        <v>1.6</v>
      </c>
      <c r="K66" s="914">
        <v>1.1000000000000001</v>
      </c>
      <c r="L66" s="914">
        <v>1.4</v>
      </c>
      <c r="M66" s="914">
        <v>1.8</v>
      </c>
      <c r="N66" s="914">
        <v>1.1000000000000001</v>
      </c>
      <c r="O66" s="914">
        <v>1.9</v>
      </c>
    </row>
    <row r="67" spans="1:15" s="917" customFormat="1" ht="11.1" customHeight="1">
      <c r="B67" s="898" t="s">
        <v>1119</v>
      </c>
      <c r="C67" s="918" t="s">
        <v>1120</v>
      </c>
      <c r="E67" s="914">
        <v>0.4</v>
      </c>
      <c r="F67" s="914">
        <v>0.9</v>
      </c>
      <c r="G67" s="914">
        <v>0.4</v>
      </c>
      <c r="H67" s="914">
        <v>0.8</v>
      </c>
      <c r="I67" s="914">
        <v>0.5</v>
      </c>
      <c r="J67" s="914">
        <v>0.8</v>
      </c>
      <c r="K67" s="914">
        <v>0.8</v>
      </c>
      <c r="L67" s="914">
        <v>1.3</v>
      </c>
      <c r="M67" s="914">
        <v>1.6</v>
      </c>
      <c r="N67" s="914">
        <v>1.2</v>
      </c>
      <c r="O67" s="914">
        <v>1.6</v>
      </c>
    </row>
    <row r="68" spans="1:15" s="917" customFormat="1" ht="3" customHeight="1">
      <c r="B68" s="898"/>
      <c r="C68" s="918"/>
      <c r="E68" s="914"/>
      <c r="F68" s="914"/>
      <c r="G68" s="914"/>
      <c r="H68" s="914"/>
      <c r="I68" s="914"/>
      <c r="J68" s="914"/>
      <c r="K68" s="914"/>
      <c r="L68" s="914"/>
      <c r="M68" s="914"/>
      <c r="N68" s="914"/>
      <c r="O68" s="914"/>
    </row>
    <row r="69" spans="1:15" s="917" customFormat="1" ht="11.1" customHeight="1">
      <c r="B69" s="898" t="s">
        <v>1121</v>
      </c>
      <c r="C69" s="918" t="s">
        <v>1122</v>
      </c>
      <c r="E69" s="914">
        <v>1.3</v>
      </c>
      <c r="F69" s="914">
        <v>2.8</v>
      </c>
      <c r="G69" s="914">
        <v>1.6</v>
      </c>
      <c r="H69" s="914">
        <v>3.1</v>
      </c>
      <c r="I69" s="914">
        <v>1.6</v>
      </c>
      <c r="J69" s="914">
        <v>2.2000000000000002</v>
      </c>
      <c r="K69" s="914">
        <v>3.7</v>
      </c>
      <c r="L69" s="914">
        <v>3.8</v>
      </c>
      <c r="M69" s="914">
        <v>3.4</v>
      </c>
      <c r="N69" s="914">
        <v>4.4000000000000004</v>
      </c>
      <c r="O69" s="914">
        <v>4.5</v>
      </c>
    </row>
    <row r="70" spans="1:15" ht="3" customHeight="1">
      <c r="I70" s="890"/>
      <c r="J70" s="890"/>
      <c r="K70" s="890"/>
      <c r="L70" s="890"/>
      <c r="M70" s="890"/>
      <c r="N70" s="890"/>
      <c r="O70" s="890"/>
    </row>
    <row r="71" spans="1:15" ht="12" customHeight="1">
      <c r="A71" s="912" t="s">
        <v>1123</v>
      </c>
      <c r="B71" s="913" t="s">
        <v>1124</v>
      </c>
      <c r="C71" s="913"/>
      <c r="D71" s="914"/>
      <c r="E71" s="914">
        <v>2.4</v>
      </c>
      <c r="F71" s="914">
        <v>5.5</v>
      </c>
      <c r="G71" s="914">
        <v>3.4</v>
      </c>
      <c r="H71" s="914">
        <v>5.8</v>
      </c>
      <c r="I71" s="914">
        <v>4.4000000000000004</v>
      </c>
      <c r="J71" s="914">
        <v>4.5</v>
      </c>
      <c r="K71" s="914">
        <v>7</v>
      </c>
      <c r="L71" s="914">
        <v>7.8</v>
      </c>
      <c r="M71" s="914">
        <v>7.9</v>
      </c>
      <c r="N71" s="914">
        <v>8.4</v>
      </c>
      <c r="O71" s="914">
        <v>10.8</v>
      </c>
    </row>
    <row r="72" spans="1:15" ht="11.1" customHeight="1">
      <c r="A72" s="917"/>
      <c r="B72" s="898" t="s">
        <v>1125</v>
      </c>
      <c r="C72" s="918" t="s">
        <v>1126</v>
      </c>
      <c r="D72" s="917"/>
      <c r="E72" s="914">
        <v>0.8</v>
      </c>
      <c r="F72" s="914">
        <v>1.7</v>
      </c>
      <c r="G72" s="914">
        <v>0.8</v>
      </c>
      <c r="H72" s="914">
        <v>1.2</v>
      </c>
      <c r="I72" s="914">
        <v>0.5</v>
      </c>
      <c r="J72" s="914">
        <v>0.5</v>
      </c>
      <c r="K72" s="914">
        <v>1.1000000000000001</v>
      </c>
      <c r="L72" s="914">
        <v>1.3</v>
      </c>
      <c r="M72" s="914">
        <v>1.1000000000000001</v>
      </c>
      <c r="N72" s="914">
        <v>1.4</v>
      </c>
      <c r="O72" s="914">
        <v>1.4</v>
      </c>
    </row>
    <row r="73" spans="1:15" ht="11.1" customHeight="1">
      <c r="A73" s="917"/>
      <c r="B73" s="898" t="s">
        <v>1127</v>
      </c>
      <c r="C73" s="918" t="s">
        <v>1128</v>
      </c>
      <c r="D73" s="917"/>
      <c r="E73" s="914">
        <v>0.4</v>
      </c>
      <c r="F73" s="914">
        <v>0.7</v>
      </c>
      <c r="G73" s="914">
        <v>0.3</v>
      </c>
      <c r="H73" s="914">
        <v>0.5</v>
      </c>
      <c r="I73" s="914">
        <v>0.2</v>
      </c>
      <c r="J73" s="920">
        <v>0.2</v>
      </c>
      <c r="K73" s="914">
        <v>0.4</v>
      </c>
      <c r="L73" s="914">
        <v>0.5</v>
      </c>
      <c r="M73" s="914">
        <v>0.3</v>
      </c>
      <c r="N73" s="914">
        <v>0.7</v>
      </c>
      <c r="O73" s="914">
        <v>0.5</v>
      </c>
    </row>
    <row r="74" spans="1:15" ht="11.1" customHeight="1">
      <c r="A74" s="917"/>
      <c r="B74" s="898" t="s">
        <v>1129</v>
      </c>
      <c r="C74" s="918" t="s">
        <v>1130</v>
      </c>
      <c r="D74" s="917"/>
      <c r="E74" s="914">
        <v>0.1</v>
      </c>
      <c r="F74" s="914">
        <v>0.2</v>
      </c>
      <c r="G74" s="914">
        <v>0.1</v>
      </c>
      <c r="H74" s="914">
        <v>0.2</v>
      </c>
      <c r="I74" s="920" t="s">
        <v>1036</v>
      </c>
      <c r="J74" s="920">
        <v>0.1</v>
      </c>
      <c r="K74" s="914">
        <v>0.1</v>
      </c>
      <c r="L74" s="914">
        <v>0.1</v>
      </c>
      <c r="M74" s="920">
        <v>0.1</v>
      </c>
      <c r="N74" s="914">
        <v>0.2</v>
      </c>
      <c r="O74" s="920">
        <v>0.3</v>
      </c>
    </row>
    <row r="75" spans="1:15" ht="11.1" customHeight="1">
      <c r="A75" s="917"/>
      <c r="B75" s="898" t="s">
        <v>1131</v>
      </c>
      <c r="C75" s="918" t="s">
        <v>1132</v>
      </c>
      <c r="D75" s="917"/>
      <c r="E75" s="914">
        <v>0.4</v>
      </c>
      <c r="F75" s="914">
        <v>1</v>
      </c>
      <c r="G75" s="914">
        <v>0.6</v>
      </c>
      <c r="H75" s="914">
        <v>1</v>
      </c>
      <c r="I75" s="914">
        <v>1.2</v>
      </c>
      <c r="J75" s="914">
        <v>1.1000000000000001</v>
      </c>
      <c r="K75" s="914">
        <v>1.5</v>
      </c>
      <c r="L75" s="914">
        <v>2</v>
      </c>
      <c r="M75" s="914">
        <v>2.2999999999999998</v>
      </c>
      <c r="N75" s="914">
        <v>1.6</v>
      </c>
      <c r="O75" s="914">
        <v>2</v>
      </c>
    </row>
    <row r="76" spans="1:15" ht="11.1" customHeight="1">
      <c r="A76" s="917"/>
      <c r="B76" s="898" t="s">
        <v>1133</v>
      </c>
      <c r="C76" s="918" t="s">
        <v>1134</v>
      </c>
      <c r="D76" s="917"/>
      <c r="E76" s="914">
        <v>0.1</v>
      </c>
      <c r="F76" s="914">
        <v>0.4</v>
      </c>
      <c r="G76" s="914">
        <v>0.2</v>
      </c>
      <c r="H76" s="914">
        <v>0.4</v>
      </c>
      <c r="I76" s="914">
        <v>0.3</v>
      </c>
      <c r="J76" s="914">
        <v>0.2</v>
      </c>
      <c r="K76" s="914">
        <v>0.5</v>
      </c>
      <c r="L76" s="914">
        <v>0.5</v>
      </c>
      <c r="M76" s="914">
        <v>0.3</v>
      </c>
      <c r="N76" s="914">
        <v>0.6</v>
      </c>
      <c r="O76" s="914">
        <v>1.1000000000000001</v>
      </c>
    </row>
    <row r="77" spans="1:15" ht="11.1" customHeight="1">
      <c r="A77" s="917"/>
      <c r="B77" s="898" t="s">
        <v>1135</v>
      </c>
      <c r="C77" s="918" t="s">
        <v>1136</v>
      </c>
      <c r="D77" s="917"/>
      <c r="E77" s="914">
        <v>0.6</v>
      </c>
      <c r="F77" s="914">
        <v>1.6</v>
      </c>
      <c r="G77" s="914">
        <v>1.5</v>
      </c>
      <c r="H77" s="914">
        <v>2.5</v>
      </c>
      <c r="I77" s="914">
        <v>2</v>
      </c>
      <c r="J77" s="914">
        <v>2.4</v>
      </c>
      <c r="K77" s="914">
        <v>3.4</v>
      </c>
      <c r="L77" s="914">
        <v>3.5</v>
      </c>
      <c r="M77" s="914">
        <v>3.8</v>
      </c>
      <c r="N77" s="914">
        <v>3.8</v>
      </c>
      <c r="O77" s="914">
        <v>5.5</v>
      </c>
    </row>
    <row r="78" spans="1:15" ht="3" customHeight="1">
      <c r="A78" s="925"/>
      <c r="B78" s="926"/>
      <c r="C78" s="927"/>
      <c r="D78" s="925"/>
      <c r="E78" s="925"/>
      <c r="F78" s="925"/>
      <c r="G78" s="925"/>
      <c r="H78" s="925"/>
      <c r="I78" s="925"/>
      <c r="J78" s="925"/>
      <c r="K78" s="925"/>
      <c r="L78" s="925"/>
      <c r="M78" s="925"/>
      <c r="N78" s="925"/>
      <c r="O78" s="925"/>
    </row>
    <row r="79" spans="1:15" ht="3" customHeight="1">
      <c r="A79" s="917"/>
      <c r="B79" s="898"/>
      <c r="C79" s="918"/>
      <c r="D79" s="917"/>
      <c r="E79" s="917"/>
      <c r="F79" s="917"/>
      <c r="G79" s="917"/>
      <c r="H79" s="917"/>
      <c r="I79" s="917"/>
      <c r="J79" s="917"/>
      <c r="K79" s="917"/>
      <c r="L79" s="917"/>
      <c r="M79" s="917"/>
    </row>
    <row r="80" spans="1:15" ht="10.5" customHeight="1">
      <c r="A80" s="850" t="s">
        <v>1047</v>
      </c>
      <c r="B80" s="898"/>
      <c r="C80" s="918"/>
      <c r="D80" s="917"/>
      <c r="E80" s="917"/>
      <c r="F80" s="917"/>
      <c r="G80" s="917"/>
      <c r="H80" s="917"/>
    </row>
    <row r="81" spans="1:15" ht="10.5" customHeight="1">
      <c r="A81" s="850" t="s">
        <v>1137</v>
      </c>
      <c r="B81" s="898"/>
      <c r="C81" s="918"/>
      <c r="D81" s="917"/>
      <c r="E81" s="917"/>
      <c r="F81" s="917"/>
      <c r="G81" s="917"/>
      <c r="H81" s="917"/>
    </row>
    <row r="82" spans="1:15" ht="10.5" customHeight="1">
      <c r="A82" s="845" t="s">
        <v>1048</v>
      </c>
      <c r="B82" s="898"/>
      <c r="C82" s="918"/>
      <c r="D82" s="917"/>
      <c r="E82" s="917"/>
      <c r="F82" s="917"/>
      <c r="G82" s="917"/>
      <c r="H82" s="917"/>
    </row>
    <row r="83" spans="1:15" ht="10.5" customHeight="1">
      <c r="A83" s="914"/>
      <c r="B83" s="898"/>
      <c r="C83" s="918"/>
      <c r="D83" s="917"/>
      <c r="E83" s="917"/>
      <c r="F83" s="917"/>
      <c r="G83" s="917"/>
      <c r="H83" s="917"/>
    </row>
    <row r="84" spans="1:15" ht="10.5" customHeight="1">
      <c r="A84" s="917"/>
      <c r="B84" s="898"/>
      <c r="C84" s="918"/>
      <c r="D84" s="917"/>
      <c r="E84" s="917"/>
      <c r="F84" s="917"/>
      <c r="G84" s="917"/>
      <c r="H84" s="917"/>
    </row>
    <row r="85" spans="1:15" ht="10.5" customHeight="1">
      <c r="A85" s="798"/>
      <c r="B85" s="898"/>
      <c r="C85" s="918"/>
      <c r="D85" s="917"/>
      <c r="E85" s="917"/>
      <c r="F85" s="917"/>
      <c r="G85" s="917"/>
      <c r="H85" s="917"/>
    </row>
    <row r="89" spans="1:15" ht="15.75" customHeight="1">
      <c r="A89" s="782" t="s">
        <v>919</v>
      </c>
      <c r="B89" s="782"/>
    </row>
    <row r="90" spans="1:15" ht="15.75" customHeight="1">
      <c r="A90" s="782" t="s">
        <v>1052</v>
      </c>
      <c r="B90" s="891"/>
      <c r="C90" s="784"/>
      <c r="D90" s="789"/>
      <c r="E90" s="789"/>
      <c r="F90" s="892"/>
      <c r="G90" s="892"/>
      <c r="H90" s="893"/>
    </row>
    <row r="91" spans="1:15" ht="15.75" customHeight="1">
      <c r="A91" s="792" t="s">
        <v>1448</v>
      </c>
      <c r="B91" s="894"/>
      <c r="C91" s="870"/>
      <c r="D91" s="793"/>
      <c r="E91" s="789"/>
      <c r="F91" s="892"/>
      <c r="G91" s="892"/>
      <c r="H91" s="893"/>
    </row>
    <row r="92" spans="1:15" ht="6" customHeight="1">
      <c r="A92" s="895"/>
      <c r="B92" s="794"/>
      <c r="C92" s="794"/>
      <c r="D92" s="795"/>
      <c r="E92" s="896"/>
      <c r="F92" s="896"/>
      <c r="G92" s="896"/>
      <c r="H92" s="896"/>
      <c r="I92" s="896"/>
      <c r="J92" s="896"/>
      <c r="K92" s="896"/>
      <c r="L92" s="896"/>
      <c r="M92" s="896"/>
    </row>
    <row r="93" spans="1:15" ht="6" customHeight="1">
      <c r="A93" s="898"/>
      <c r="B93" s="800"/>
      <c r="C93" s="800"/>
      <c r="D93" s="801"/>
      <c r="E93" s="899"/>
      <c r="F93" s="899"/>
      <c r="G93" s="899"/>
      <c r="H93" s="899"/>
      <c r="I93" s="801"/>
      <c r="J93" s="899"/>
      <c r="K93" s="801"/>
      <c r="L93" s="899"/>
      <c r="M93" s="801"/>
      <c r="N93" s="900"/>
      <c r="O93" s="900"/>
    </row>
    <row r="94" spans="1:15" ht="12.75" customHeight="1">
      <c r="A94" s="799"/>
      <c r="B94" s="800"/>
      <c r="C94" s="801"/>
      <c r="D94" s="801"/>
      <c r="E94" s="805" t="s">
        <v>912</v>
      </c>
      <c r="F94" s="805"/>
      <c r="G94" s="805" t="s">
        <v>146</v>
      </c>
      <c r="H94" s="806"/>
      <c r="I94" s="805" t="s">
        <v>913</v>
      </c>
      <c r="J94" s="805"/>
      <c r="K94" s="805"/>
      <c r="L94" s="805"/>
      <c r="M94" s="805"/>
      <c r="N94" s="805"/>
      <c r="O94" s="805"/>
    </row>
    <row r="95" spans="1:15" ht="12.75" customHeight="1">
      <c r="A95" s="807"/>
      <c r="C95" s="808"/>
      <c r="D95" s="808"/>
      <c r="E95" s="805"/>
      <c r="F95" s="806"/>
      <c r="G95" s="817" t="s">
        <v>929</v>
      </c>
      <c r="H95" s="813" t="s">
        <v>931</v>
      </c>
      <c r="I95" s="805" t="s">
        <v>922</v>
      </c>
      <c r="J95" s="902"/>
      <c r="K95" s="805" t="s">
        <v>923</v>
      </c>
      <c r="L95" s="902"/>
      <c r="M95" s="806"/>
      <c r="N95" s="903" t="s">
        <v>924</v>
      </c>
      <c r="O95" s="806"/>
    </row>
    <row r="96" spans="1:15" ht="12.75" customHeight="1">
      <c r="A96" s="904"/>
      <c r="B96" s="904"/>
      <c r="C96" s="816"/>
      <c r="D96" s="816"/>
      <c r="E96" s="817" t="s">
        <v>929</v>
      </c>
      <c r="F96" s="817" t="s">
        <v>930</v>
      </c>
      <c r="G96" s="813" t="s">
        <v>935</v>
      </c>
      <c r="H96" s="813" t="s">
        <v>936</v>
      </c>
      <c r="I96" s="817" t="s">
        <v>932</v>
      </c>
      <c r="J96" s="820" t="s">
        <v>932</v>
      </c>
      <c r="K96" s="813" t="s">
        <v>932</v>
      </c>
      <c r="L96" s="820" t="s">
        <v>932</v>
      </c>
      <c r="M96" s="820" t="s">
        <v>932</v>
      </c>
      <c r="N96" s="820" t="s">
        <v>933</v>
      </c>
      <c r="O96" s="820" t="s">
        <v>932</v>
      </c>
    </row>
    <row r="97" spans="1:15" ht="12.75" customHeight="1">
      <c r="A97" s="904"/>
      <c r="B97" s="904"/>
      <c r="C97" s="816"/>
      <c r="D97" s="816"/>
      <c r="E97" s="813" t="s">
        <v>935</v>
      </c>
      <c r="F97" s="817" t="s">
        <v>936</v>
      </c>
      <c r="G97" s="813" t="s">
        <v>26</v>
      </c>
      <c r="H97" s="813"/>
      <c r="I97" s="817" t="s">
        <v>937</v>
      </c>
      <c r="J97" s="817" t="s">
        <v>938</v>
      </c>
      <c r="K97" s="817" t="s">
        <v>937</v>
      </c>
      <c r="L97" s="817" t="s">
        <v>938</v>
      </c>
      <c r="M97" s="817" t="s">
        <v>939</v>
      </c>
      <c r="N97" s="817" t="s">
        <v>940</v>
      </c>
      <c r="O97" s="817" t="s">
        <v>940</v>
      </c>
    </row>
    <row r="98" spans="1:15" ht="12.75" customHeight="1">
      <c r="A98" s="904"/>
      <c r="B98" s="904"/>
      <c r="C98" s="816"/>
      <c r="D98" s="816"/>
      <c r="E98" s="793"/>
      <c r="F98" s="817"/>
      <c r="G98" s="793"/>
      <c r="H98" s="793"/>
      <c r="I98" s="817" t="s">
        <v>941</v>
      </c>
      <c r="J98" s="817" t="s">
        <v>942</v>
      </c>
      <c r="K98" s="817" t="s">
        <v>941</v>
      </c>
      <c r="L98" s="817" t="s">
        <v>940</v>
      </c>
      <c r="M98" s="817" t="s">
        <v>942</v>
      </c>
      <c r="N98" s="813"/>
      <c r="O98" s="813"/>
    </row>
    <row r="99" spans="1:15" ht="12.75" customHeight="1">
      <c r="A99" s="821"/>
      <c r="B99" s="821"/>
      <c r="C99" s="821"/>
      <c r="D99" s="821"/>
      <c r="E99" s="822"/>
      <c r="F99" s="822"/>
      <c r="G99" s="822"/>
      <c r="H99" s="822"/>
      <c r="I99" s="793"/>
      <c r="J99" s="817" t="s">
        <v>940</v>
      </c>
      <c r="K99" s="793"/>
      <c r="L99" s="793"/>
      <c r="M99" s="817" t="s">
        <v>940</v>
      </c>
      <c r="N99" s="793"/>
      <c r="O99" s="793"/>
    </row>
    <row r="100" spans="1:15" ht="6" customHeight="1">
      <c r="A100" s="794"/>
      <c r="B100" s="794"/>
      <c r="C100" s="795"/>
      <c r="D100" s="795"/>
      <c r="E100" s="796"/>
      <c r="F100" s="796"/>
      <c r="G100" s="796"/>
      <c r="H100" s="796"/>
      <c r="I100" s="796"/>
      <c r="J100" s="795"/>
      <c r="K100" s="795"/>
      <c r="L100" s="796"/>
      <c r="M100" s="796"/>
      <c r="N100" s="796"/>
      <c r="O100" s="796"/>
    </row>
    <row r="101" spans="1:15" ht="6" customHeight="1">
      <c r="B101" s="928"/>
      <c r="C101" s="928"/>
      <c r="I101" s="890"/>
      <c r="J101" s="890"/>
      <c r="K101" s="890"/>
      <c r="L101" s="890"/>
      <c r="M101" s="890"/>
    </row>
    <row r="102" spans="1:15" ht="12.75" customHeight="1">
      <c r="A102" s="909" t="s">
        <v>1030</v>
      </c>
      <c r="B102" s="834"/>
      <c r="C102" s="834"/>
      <c r="D102" s="835"/>
      <c r="E102" s="1335" t="s">
        <v>1031</v>
      </c>
      <c r="F102" s="1335"/>
      <c r="G102" s="1335"/>
      <c r="H102" s="1335"/>
      <c r="I102" s="1335"/>
      <c r="J102" s="1335"/>
      <c r="K102" s="1335"/>
      <c r="L102" s="1335"/>
      <c r="M102" s="1335"/>
    </row>
    <row r="103" spans="1:15" ht="6" customHeight="1">
      <c r="A103" s="895"/>
      <c r="B103" s="795"/>
      <c r="C103" s="795"/>
      <c r="D103" s="795"/>
      <c r="E103" s="896"/>
      <c r="F103" s="896"/>
      <c r="G103" s="896"/>
      <c r="H103" s="896"/>
      <c r="I103" s="896"/>
      <c r="J103" s="896"/>
      <c r="K103" s="896"/>
      <c r="L103" s="896"/>
      <c r="M103" s="896"/>
      <c r="N103" s="795"/>
      <c r="O103" s="795"/>
    </row>
    <row r="104" spans="1:15" ht="6" customHeight="1">
      <c r="B104" s="928"/>
      <c r="C104" s="928"/>
      <c r="I104" s="890"/>
      <c r="J104" s="890"/>
      <c r="K104" s="890"/>
      <c r="L104" s="890"/>
      <c r="M104" s="890"/>
      <c r="N104" s="890"/>
      <c r="O104" s="890"/>
    </row>
    <row r="105" spans="1:15" ht="12.75" customHeight="1">
      <c r="A105" s="910" t="s">
        <v>1138</v>
      </c>
      <c r="B105" s="861" t="s">
        <v>1139</v>
      </c>
      <c r="C105" s="861"/>
      <c r="D105" s="862"/>
      <c r="E105" s="911">
        <v>7.2</v>
      </c>
      <c r="F105" s="911">
        <v>15</v>
      </c>
      <c r="G105" s="911">
        <v>10</v>
      </c>
      <c r="H105" s="911">
        <v>14.5</v>
      </c>
      <c r="I105" s="911">
        <v>4.4000000000000004</v>
      </c>
      <c r="J105" s="911">
        <v>4.5</v>
      </c>
      <c r="K105" s="911">
        <v>11.7</v>
      </c>
      <c r="L105" s="911">
        <v>12</v>
      </c>
      <c r="M105" s="911">
        <v>9.9</v>
      </c>
      <c r="N105" s="911">
        <v>17.899999999999999</v>
      </c>
      <c r="O105" s="911">
        <v>15.1</v>
      </c>
    </row>
    <row r="106" spans="1:15" ht="6" customHeight="1">
      <c r="B106" s="913"/>
      <c r="C106" s="913"/>
      <c r="D106" s="914"/>
      <c r="E106" s="914"/>
      <c r="F106" s="914"/>
      <c r="G106" s="914"/>
      <c r="H106" s="914"/>
      <c r="I106" s="914"/>
      <c r="J106" s="914"/>
      <c r="K106" s="914"/>
      <c r="L106" s="914"/>
      <c r="M106" s="914"/>
      <c r="N106" s="914"/>
      <c r="O106" s="914"/>
    </row>
    <row r="107" spans="1:15" ht="11.1" customHeight="1">
      <c r="A107" s="912" t="s">
        <v>1140</v>
      </c>
      <c r="B107" s="913" t="s">
        <v>1141</v>
      </c>
      <c r="C107" s="913"/>
      <c r="D107" s="914"/>
      <c r="E107" s="914">
        <v>5.4</v>
      </c>
      <c r="F107" s="914">
        <v>12.2</v>
      </c>
      <c r="G107" s="914">
        <v>6.4</v>
      </c>
      <c r="H107" s="914">
        <v>11.7</v>
      </c>
      <c r="I107" s="914">
        <v>3.1</v>
      </c>
      <c r="J107" s="914">
        <v>2.7</v>
      </c>
      <c r="K107" s="914">
        <v>9.4</v>
      </c>
      <c r="L107" s="914">
        <v>9.6</v>
      </c>
      <c r="M107" s="914">
        <v>8.1</v>
      </c>
      <c r="N107" s="914">
        <v>12.9</v>
      </c>
      <c r="O107" s="914">
        <v>11.2</v>
      </c>
    </row>
    <row r="108" spans="1:15" ht="11.1" customHeight="1">
      <c r="A108" s="917"/>
      <c r="B108" s="898" t="s">
        <v>1142</v>
      </c>
      <c r="C108" s="918" t="s">
        <v>1143</v>
      </c>
      <c r="D108" s="917"/>
      <c r="E108" s="914">
        <v>1.4</v>
      </c>
      <c r="F108" s="914">
        <v>2.9</v>
      </c>
      <c r="G108" s="914">
        <v>1.9</v>
      </c>
      <c r="H108" s="914">
        <v>2.5</v>
      </c>
      <c r="I108" s="919">
        <v>0.8</v>
      </c>
      <c r="J108" s="919">
        <v>0.5</v>
      </c>
      <c r="K108" s="914">
        <v>2.2000000000000002</v>
      </c>
      <c r="L108" s="914">
        <v>1.6</v>
      </c>
      <c r="M108" s="914">
        <v>1.1000000000000001</v>
      </c>
      <c r="N108" s="914">
        <v>3.2</v>
      </c>
      <c r="O108" s="914">
        <v>2.7</v>
      </c>
    </row>
    <row r="109" spans="1:15" ht="11.1" customHeight="1">
      <c r="A109" s="917"/>
      <c r="B109" s="898" t="s">
        <v>1144</v>
      </c>
      <c r="C109" s="918" t="s">
        <v>1145</v>
      </c>
      <c r="D109" s="917"/>
      <c r="E109" s="914">
        <v>3.2</v>
      </c>
      <c r="F109" s="914">
        <v>6.8</v>
      </c>
      <c r="G109" s="914">
        <v>2.6</v>
      </c>
      <c r="H109" s="914">
        <v>5.5</v>
      </c>
      <c r="I109" s="914">
        <v>1.6</v>
      </c>
      <c r="J109" s="914">
        <v>1.7</v>
      </c>
      <c r="K109" s="914">
        <v>4.2</v>
      </c>
      <c r="L109" s="914">
        <v>4.0999999999999996</v>
      </c>
      <c r="M109" s="914">
        <v>4.4000000000000004</v>
      </c>
      <c r="N109" s="914">
        <v>6</v>
      </c>
      <c r="O109" s="914">
        <v>5.5</v>
      </c>
    </row>
    <row r="110" spans="1:15" ht="11.1" customHeight="1">
      <c r="A110" s="917"/>
      <c r="B110" s="898" t="s">
        <v>1146</v>
      </c>
      <c r="C110" s="918" t="s">
        <v>1147</v>
      </c>
      <c r="D110" s="917"/>
      <c r="E110" s="914">
        <v>0.8</v>
      </c>
      <c r="F110" s="914">
        <v>2.5</v>
      </c>
      <c r="G110" s="914">
        <v>1.9</v>
      </c>
      <c r="H110" s="914">
        <v>3.6</v>
      </c>
      <c r="I110" s="919">
        <v>0.7</v>
      </c>
      <c r="J110" s="919">
        <v>0.5</v>
      </c>
      <c r="K110" s="914">
        <v>3</v>
      </c>
      <c r="L110" s="914">
        <v>3.9</v>
      </c>
      <c r="M110" s="914">
        <v>2.6</v>
      </c>
      <c r="N110" s="914">
        <v>3.6</v>
      </c>
      <c r="O110" s="914">
        <v>2.9</v>
      </c>
    </row>
    <row r="111" spans="1:15" ht="11.1" customHeight="1">
      <c r="A111" s="917"/>
      <c r="B111" s="898" t="s">
        <v>1148</v>
      </c>
      <c r="C111" s="918" t="s">
        <v>1149</v>
      </c>
      <c r="D111" s="917"/>
      <c r="E111" s="844" t="s">
        <v>1036</v>
      </c>
      <c r="F111" s="923">
        <v>0</v>
      </c>
      <c r="G111" s="844" t="s">
        <v>1036</v>
      </c>
      <c r="H111" s="924">
        <v>0</v>
      </c>
      <c r="I111" s="844" t="s">
        <v>1035</v>
      </c>
      <c r="J111" s="844" t="s">
        <v>1036</v>
      </c>
      <c r="K111" s="844" t="s">
        <v>1036</v>
      </c>
      <c r="L111" s="844" t="s">
        <v>1036</v>
      </c>
      <c r="M111" s="844" t="s">
        <v>1036</v>
      </c>
      <c r="N111" s="919">
        <v>0.1</v>
      </c>
      <c r="O111" s="844" t="s">
        <v>1036</v>
      </c>
    </row>
    <row r="112" spans="1:15" ht="6" customHeight="1">
      <c r="B112" s="913"/>
      <c r="C112" s="914"/>
      <c r="D112" s="914"/>
      <c r="E112" s="914"/>
      <c r="F112" s="914"/>
      <c r="G112" s="914"/>
      <c r="H112" s="914"/>
      <c r="I112" s="914"/>
      <c r="J112" s="914"/>
      <c r="K112" s="914"/>
      <c r="L112" s="914"/>
      <c r="M112" s="914"/>
      <c r="N112" s="914"/>
      <c r="O112" s="914"/>
    </row>
    <row r="113" spans="1:15" ht="11.1" customHeight="1">
      <c r="A113" s="912" t="s">
        <v>1150</v>
      </c>
      <c r="B113" s="913" t="s">
        <v>1151</v>
      </c>
      <c r="C113" s="914"/>
      <c r="D113" s="914"/>
      <c r="E113" s="914">
        <v>1.8</v>
      </c>
      <c r="F113" s="914">
        <v>2.7</v>
      </c>
      <c r="G113" s="914">
        <v>3.5</v>
      </c>
      <c r="H113" s="914">
        <v>2.8</v>
      </c>
      <c r="I113" s="919">
        <v>1.3</v>
      </c>
      <c r="J113" s="919">
        <v>1.9</v>
      </c>
      <c r="K113" s="914">
        <v>2.2999999999999998</v>
      </c>
      <c r="L113" s="914">
        <v>2.4</v>
      </c>
      <c r="M113" s="919">
        <v>1.8</v>
      </c>
      <c r="N113" s="914">
        <v>5</v>
      </c>
      <c r="O113" s="914">
        <v>3.9</v>
      </c>
    </row>
    <row r="114" spans="1:15" ht="11.1" customHeight="1">
      <c r="A114" s="917"/>
      <c r="B114" s="898" t="s">
        <v>1152</v>
      </c>
      <c r="C114" s="918" t="s">
        <v>151</v>
      </c>
      <c r="D114" s="917"/>
      <c r="E114" s="914">
        <v>1.6</v>
      </c>
      <c r="F114" s="914">
        <v>2</v>
      </c>
      <c r="G114" s="914">
        <v>2.1</v>
      </c>
      <c r="H114" s="914">
        <v>1.9</v>
      </c>
      <c r="I114" s="844" t="s">
        <v>1036</v>
      </c>
      <c r="J114" s="844" t="s">
        <v>1036</v>
      </c>
      <c r="K114" s="914">
        <v>1</v>
      </c>
      <c r="L114" s="914">
        <v>1.2</v>
      </c>
      <c r="M114" s="844" t="s">
        <v>1036</v>
      </c>
      <c r="N114" s="914">
        <v>3.5</v>
      </c>
      <c r="O114" s="914">
        <v>2.6</v>
      </c>
    </row>
    <row r="115" spans="1:15" ht="11.1" customHeight="1">
      <c r="A115" s="917"/>
      <c r="B115" s="898" t="s">
        <v>1153</v>
      </c>
      <c r="C115" s="917" t="s">
        <v>1154</v>
      </c>
      <c r="D115" s="917"/>
      <c r="E115" s="919">
        <v>0.2</v>
      </c>
      <c r="F115" s="914">
        <v>0.7</v>
      </c>
      <c r="G115" s="914">
        <v>1.5</v>
      </c>
      <c r="H115" s="914">
        <v>0.9</v>
      </c>
      <c r="I115" s="844" t="s">
        <v>1036</v>
      </c>
      <c r="J115" s="844" t="s">
        <v>1036</v>
      </c>
      <c r="K115" s="914">
        <v>1.3</v>
      </c>
      <c r="L115" s="914">
        <v>1.2</v>
      </c>
      <c r="M115" s="844" t="s">
        <v>1036</v>
      </c>
      <c r="N115" s="914">
        <v>1.5</v>
      </c>
      <c r="O115" s="919">
        <v>1.3</v>
      </c>
    </row>
    <row r="116" spans="1:15" ht="6" customHeight="1">
      <c r="A116" s="929"/>
      <c r="B116" s="930"/>
      <c r="C116" s="930"/>
      <c r="D116" s="931"/>
      <c r="E116" s="932"/>
      <c r="F116" s="932"/>
      <c r="G116" s="932"/>
      <c r="H116" s="932"/>
      <c r="I116" s="932"/>
      <c r="J116" s="932"/>
      <c r="K116" s="932"/>
      <c r="L116" s="932"/>
      <c r="M116" s="932"/>
      <c r="N116" s="932"/>
      <c r="O116" s="932"/>
    </row>
    <row r="117" spans="1:15" ht="6" customHeight="1">
      <c r="B117" s="928"/>
      <c r="C117" s="928"/>
      <c r="E117" s="914"/>
      <c r="F117" s="914"/>
      <c r="G117" s="914"/>
      <c r="H117" s="914"/>
      <c r="I117" s="914"/>
      <c r="J117" s="914"/>
      <c r="K117" s="914"/>
      <c r="L117" s="914"/>
      <c r="M117" s="914"/>
      <c r="N117" s="914"/>
      <c r="O117" s="914"/>
    </row>
    <row r="118" spans="1:15" ht="12.75" customHeight="1">
      <c r="A118" s="910" t="s">
        <v>1155</v>
      </c>
      <c r="B118" s="861" t="s">
        <v>1156</v>
      </c>
      <c r="C118" s="861"/>
      <c r="D118" s="862"/>
      <c r="E118" s="911">
        <v>6.3</v>
      </c>
      <c r="F118" s="911">
        <v>14.3</v>
      </c>
      <c r="G118" s="911">
        <v>9.8000000000000007</v>
      </c>
      <c r="H118" s="911">
        <v>17.600000000000001</v>
      </c>
      <c r="I118" s="911">
        <v>13</v>
      </c>
      <c r="J118" s="911">
        <v>14.2</v>
      </c>
      <c r="K118" s="911">
        <v>26.2</v>
      </c>
      <c r="L118" s="911">
        <v>22.9</v>
      </c>
      <c r="M118" s="911">
        <v>28.7</v>
      </c>
      <c r="N118" s="911">
        <v>30.4</v>
      </c>
      <c r="O118" s="911">
        <v>36.1</v>
      </c>
    </row>
    <row r="119" spans="1:15" ht="6" customHeight="1">
      <c r="B119" s="913"/>
      <c r="C119" s="913"/>
      <c r="D119" s="914"/>
      <c r="E119" s="914"/>
      <c r="F119" s="914"/>
      <c r="G119" s="914"/>
      <c r="H119" s="914"/>
      <c r="I119" s="914"/>
      <c r="J119" s="914"/>
      <c r="K119" s="914"/>
      <c r="L119" s="914"/>
      <c r="M119" s="914"/>
      <c r="N119" s="914"/>
      <c r="O119" s="914"/>
    </row>
    <row r="120" spans="1:15" ht="11.1" customHeight="1">
      <c r="A120" s="912" t="s">
        <v>1157</v>
      </c>
      <c r="B120" s="913" t="s">
        <v>27</v>
      </c>
      <c r="C120" s="913"/>
      <c r="D120" s="914"/>
      <c r="E120" s="914">
        <v>5.2</v>
      </c>
      <c r="F120" s="914">
        <v>11.9</v>
      </c>
      <c r="G120" s="914">
        <v>8.6</v>
      </c>
      <c r="H120" s="914">
        <v>14.8</v>
      </c>
      <c r="I120" s="914">
        <v>10.8</v>
      </c>
      <c r="J120" s="914">
        <v>11.3</v>
      </c>
      <c r="K120" s="914">
        <v>21.9</v>
      </c>
      <c r="L120" s="914">
        <v>18</v>
      </c>
      <c r="M120" s="914">
        <v>22.8</v>
      </c>
      <c r="N120" s="914">
        <v>23.9</v>
      </c>
      <c r="O120" s="914">
        <v>28.9</v>
      </c>
    </row>
    <row r="121" spans="1:15" ht="11.1" customHeight="1">
      <c r="A121" s="801"/>
      <c r="B121" s="898" t="s">
        <v>1158</v>
      </c>
      <c r="C121" s="918" t="s">
        <v>1159</v>
      </c>
      <c r="D121" s="801"/>
      <c r="E121" s="914">
        <v>0.8</v>
      </c>
      <c r="F121" s="914">
        <v>2.6</v>
      </c>
      <c r="G121" s="914">
        <v>2.7</v>
      </c>
      <c r="H121" s="914">
        <v>4.2</v>
      </c>
      <c r="I121" s="920" t="s">
        <v>1036</v>
      </c>
      <c r="J121" s="920" t="s">
        <v>1036</v>
      </c>
      <c r="K121" s="914">
        <v>5.4</v>
      </c>
      <c r="L121" s="914">
        <v>3</v>
      </c>
      <c r="M121" s="919">
        <v>3.6</v>
      </c>
      <c r="N121" s="914">
        <v>7</v>
      </c>
      <c r="O121" s="914">
        <v>6.9</v>
      </c>
    </row>
    <row r="122" spans="1:15" ht="11.1" customHeight="1">
      <c r="A122" s="917"/>
      <c r="B122" s="898" t="s">
        <v>1160</v>
      </c>
      <c r="C122" s="922" t="s">
        <v>1161</v>
      </c>
      <c r="D122" s="917"/>
      <c r="E122" s="919">
        <v>0.2</v>
      </c>
      <c r="F122" s="914">
        <v>0.5</v>
      </c>
      <c r="G122" s="919">
        <v>0.2</v>
      </c>
      <c r="H122" s="914">
        <v>0.4</v>
      </c>
      <c r="I122" s="920" t="s">
        <v>1036</v>
      </c>
      <c r="J122" s="920" t="s">
        <v>1036</v>
      </c>
      <c r="K122" s="914">
        <v>0.5</v>
      </c>
      <c r="L122" s="914">
        <v>0.6</v>
      </c>
      <c r="M122" s="919">
        <v>0.6</v>
      </c>
      <c r="N122" s="914">
        <v>0.6</v>
      </c>
      <c r="O122" s="914">
        <v>1.1000000000000001</v>
      </c>
    </row>
    <row r="123" spans="1:15" ht="11.1" customHeight="1">
      <c r="A123" s="921"/>
      <c r="B123" s="898" t="s">
        <v>1162</v>
      </c>
      <c r="C123" s="916" t="s">
        <v>1163</v>
      </c>
      <c r="D123" s="921"/>
      <c r="E123" s="914">
        <v>2.7</v>
      </c>
      <c r="F123" s="914">
        <v>6</v>
      </c>
      <c r="G123" s="914">
        <v>4.4000000000000004</v>
      </c>
      <c r="H123" s="914">
        <v>7.1</v>
      </c>
      <c r="I123" s="914">
        <v>4.9000000000000004</v>
      </c>
      <c r="J123" s="914">
        <v>3.2</v>
      </c>
      <c r="K123" s="914">
        <v>9.4</v>
      </c>
      <c r="L123" s="914">
        <v>5.5</v>
      </c>
      <c r="M123" s="914">
        <v>6.1</v>
      </c>
      <c r="N123" s="914">
        <v>11.8</v>
      </c>
      <c r="O123" s="914">
        <v>11.9</v>
      </c>
    </row>
    <row r="124" spans="1:15" ht="11.1" customHeight="1">
      <c r="A124" s="801"/>
      <c r="B124" s="898" t="s">
        <v>1164</v>
      </c>
      <c r="C124" s="918" t="s">
        <v>1165</v>
      </c>
      <c r="D124" s="801"/>
      <c r="E124" s="914">
        <v>0.5</v>
      </c>
      <c r="F124" s="914">
        <v>1.1000000000000001</v>
      </c>
      <c r="G124" s="914">
        <v>0.6</v>
      </c>
      <c r="H124" s="914">
        <v>1.2</v>
      </c>
      <c r="I124" s="919">
        <v>1</v>
      </c>
      <c r="J124" s="919">
        <v>0.7</v>
      </c>
      <c r="K124" s="914">
        <v>1.3</v>
      </c>
      <c r="L124" s="914">
        <v>1.2</v>
      </c>
      <c r="M124" s="914">
        <v>1.1000000000000001</v>
      </c>
      <c r="N124" s="914">
        <v>2.1</v>
      </c>
      <c r="O124" s="914">
        <v>2.2999999999999998</v>
      </c>
    </row>
    <row r="125" spans="1:15" ht="6" customHeight="1">
      <c r="A125" s="801"/>
      <c r="B125" s="898"/>
      <c r="C125" s="918"/>
      <c r="D125" s="801"/>
      <c r="E125" s="914"/>
      <c r="F125" s="914"/>
      <c r="G125" s="914"/>
      <c r="H125" s="914"/>
      <c r="I125" s="914"/>
      <c r="J125" s="914"/>
      <c r="K125" s="914"/>
      <c r="L125" s="914"/>
      <c r="M125" s="914"/>
      <c r="N125" s="914"/>
      <c r="O125" s="914"/>
    </row>
    <row r="126" spans="1:15" ht="11.1" customHeight="1">
      <c r="A126" s="917"/>
      <c r="B126" s="898" t="s">
        <v>1166</v>
      </c>
      <c r="C126" s="918" t="s">
        <v>1167</v>
      </c>
      <c r="D126" s="917"/>
      <c r="E126" s="920" t="s">
        <v>1036</v>
      </c>
      <c r="F126" s="919">
        <v>0.1</v>
      </c>
      <c r="G126" s="919">
        <v>0.1</v>
      </c>
      <c r="H126" s="914">
        <v>0.1</v>
      </c>
      <c r="I126" s="920" t="s">
        <v>1036</v>
      </c>
      <c r="J126" s="919">
        <v>1.1000000000000001</v>
      </c>
      <c r="K126" s="914">
        <v>1.1000000000000001</v>
      </c>
      <c r="L126" s="914">
        <v>1.8</v>
      </c>
      <c r="M126" s="914">
        <v>1.5</v>
      </c>
      <c r="N126" s="920" t="s">
        <v>1036</v>
      </c>
      <c r="O126" s="914">
        <v>1.3</v>
      </c>
    </row>
    <row r="127" spans="1:15" ht="11.1" customHeight="1">
      <c r="A127" s="917"/>
      <c r="B127" s="898" t="s">
        <v>1168</v>
      </c>
      <c r="C127" s="801" t="s">
        <v>1169</v>
      </c>
      <c r="D127" s="917"/>
      <c r="E127" s="919">
        <v>0.1</v>
      </c>
      <c r="F127" s="919">
        <v>0.3</v>
      </c>
      <c r="G127" s="919">
        <v>0.1</v>
      </c>
      <c r="H127" s="914">
        <v>0.2</v>
      </c>
      <c r="I127" s="919">
        <v>1.7</v>
      </c>
      <c r="J127" s="919">
        <v>2</v>
      </c>
      <c r="K127" s="914">
        <v>1.2</v>
      </c>
      <c r="L127" s="914">
        <v>2.8</v>
      </c>
      <c r="M127" s="914">
        <v>5.3</v>
      </c>
      <c r="N127" s="919">
        <v>0.1</v>
      </c>
      <c r="O127" s="914">
        <v>3.3</v>
      </c>
    </row>
    <row r="128" spans="1:15" ht="11.1" customHeight="1">
      <c r="A128" s="801"/>
      <c r="B128" s="898" t="s">
        <v>1170</v>
      </c>
      <c r="C128" s="916" t="s">
        <v>1171</v>
      </c>
      <c r="D128" s="801"/>
      <c r="E128" s="919">
        <v>0.1</v>
      </c>
      <c r="F128" s="919">
        <v>0.2</v>
      </c>
      <c r="G128" s="920" t="s">
        <v>1036</v>
      </c>
      <c r="H128" s="914">
        <v>0.3</v>
      </c>
      <c r="I128" s="920" t="s">
        <v>1036</v>
      </c>
      <c r="J128" s="920" t="s">
        <v>1036</v>
      </c>
      <c r="K128" s="914">
        <v>1.6</v>
      </c>
      <c r="L128" s="914">
        <v>0.7</v>
      </c>
      <c r="M128" s="919">
        <v>1.1000000000000001</v>
      </c>
      <c r="N128" s="920" t="s">
        <v>1036</v>
      </c>
      <c r="O128" s="920" t="s">
        <v>1036</v>
      </c>
    </row>
    <row r="129" spans="1:15" ht="11.1" customHeight="1">
      <c r="A129" s="801"/>
      <c r="B129" s="898" t="s">
        <v>1172</v>
      </c>
      <c r="C129" s="918" t="s">
        <v>1173</v>
      </c>
      <c r="D129" s="801"/>
      <c r="E129" s="920" t="s">
        <v>1036</v>
      </c>
      <c r="F129" s="919">
        <v>0.1</v>
      </c>
      <c r="G129" s="919">
        <v>0.1</v>
      </c>
      <c r="H129" s="914">
        <v>0.1</v>
      </c>
      <c r="I129" s="919">
        <v>0.4</v>
      </c>
      <c r="J129" s="919">
        <v>0.6</v>
      </c>
      <c r="K129" s="914">
        <v>0.6</v>
      </c>
      <c r="L129" s="914">
        <v>1</v>
      </c>
      <c r="M129" s="914">
        <v>1.9</v>
      </c>
      <c r="N129" s="919">
        <v>0.2</v>
      </c>
      <c r="O129" s="914">
        <v>0.8</v>
      </c>
    </row>
    <row r="130" spans="1:15" ht="6" customHeight="1">
      <c r="A130" s="801"/>
      <c r="B130" s="898"/>
      <c r="C130" s="918"/>
      <c r="D130" s="801"/>
      <c r="E130" s="914"/>
      <c r="F130" s="914"/>
      <c r="G130" s="914"/>
      <c r="H130" s="914"/>
      <c r="I130" s="914"/>
      <c r="J130" s="914"/>
      <c r="K130" s="914"/>
      <c r="L130" s="914"/>
      <c r="M130" s="914"/>
      <c r="N130" s="914"/>
      <c r="O130" s="914"/>
    </row>
    <row r="131" spans="1:15" ht="11.1" customHeight="1">
      <c r="A131" s="917"/>
      <c r="B131" s="898" t="s">
        <v>1174</v>
      </c>
      <c r="C131" s="922" t="s">
        <v>1175</v>
      </c>
      <c r="D131" s="917"/>
      <c r="E131" s="914">
        <v>0.4</v>
      </c>
      <c r="F131" s="914">
        <v>0.6</v>
      </c>
      <c r="G131" s="914">
        <v>0.2</v>
      </c>
      <c r="H131" s="914">
        <v>0.6</v>
      </c>
      <c r="I131" s="919">
        <v>0.4</v>
      </c>
      <c r="J131" s="919">
        <v>0.4</v>
      </c>
      <c r="K131" s="914">
        <v>0.7</v>
      </c>
      <c r="L131" s="914">
        <v>0.9</v>
      </c>
      <c r="M131" s="914">
        <v>1.3</v>
      </c>
      <c r="N131" s="914">
        <v>1.2</v>
      </c>
      <c r="O131" s="914">
        <v>0.6</v>
      </c>
    </row>
    <row r="132" spans="1:15" ht="11.1" customHeight="1">
      <c r="A132" s="921"/>
      <c r="B132" s="898" t="s">
        <v>1176</v>
      </c>
      <c r="C132" s="916" t="s">
        <v>1177</v>
      </c>
      <c r="D132" s="921"/>
      <c r="E132" s="914">
        <v>0.1</v>
      </c>
      <c r="F132" s="914">
        <v>0.3</v>
      </c>
      <c r="G132" s="920">
        <v>0.1</v>
      </c>
      <c r="H132" s="914">
        <v>0.4</v>
      </c>
      <c r="I132" s="920" t="s">
        <v>1036</v>
      </c>
      <c r="J132" s="920" t="s">
        <v>1036</v>
      </c>
      <c r="K132" s="919">
        <v>0.2</v>
      </c>
      <c r="L132" s="914">
        <v>0.2</v>
      </c>
      <c r="M132" s="920" t="s">
        <v>1036</v>
      </c>
      <c r="N132" s="914">
        <v>0.4</v>
      </c>
      <c r="O132" s="920" t="s">
        <v>1036</v>
      </c>
    </row>
    <row r="133" spans="1:15" ht="11.1" customHeight="1">
      <c r="A133" s="801"/>
      <c r="B133" s="898" t="s">
        <v>1178</v>
      </c>
      <c r="C133" s="918" t="s">
        <v>1179</v>
      </c>
      <c r="D133" s="801"/>
      <c r="E133" s="920">
        <v>0.1</v>
      </c>
      <c r="F133" s="920">
        <v>0.1</v>
      </c>
      <c r="G133" s="920">
        <v>0.1</v>
      </c>
      <c r="H133" s="914">
        <v>0.2</v>
      </c>
      <c r="I133" s="844" t="s">
        <v>1035</v>
      </c>
      <c r="J133" s="844" t="s">
        <v>1035</v>
      </c>
      <c r="K133" s="920" t="s">
        <v>1036</v>
      </c>
      <c r="L133" s="920" t="s">
        <v>1036</v>
      </c>
      <c r="M133" s="920" t="s">
        <v>1036</v>
      </c>
      <c r="N133" s="920" t="s">
        <v>1036</v>
      </c>
      <c r="O133" s="920" t="s">
        <v>1036</v>
      </c>
    </row>
    <row r="134" spans="1:15" ht="6" customHeight="1">
      <c r="B134" s="913"/>
      <c r="C134" s="914"/>
      <c r="D134" s="914"/>
      <c r="E134" s="914"/>
      <c r="F134" s="914"/>
      <c r="G134" s="914"/>
      <c r="H134" s="914"/>
      <c r="I134" s="914"/>
      <c r="J134" s="914"/>
      <c r="K134" s="914"/>
      <c r="L134" s="914"/>
      <c r="M134" s="914"/>
      <c r="N134" s="914"/>
      <c r="O134" s="914"/>
    </row>
    <row r="135" spans="1:15" ht="11.1" customHeight="1">
      <c r="A135" s="912" t="s">
        <v>1180</v>
      </c>
      <c r="B135" s="913" t="s">
        <v>1181</v>
      </c>
      <c r="C135" s="914"/>
      <c r="D135" s="914"/>
      <c r="E135" s="914">
        <v>1.1000000000000001</v>
      </c>
      <c r="F135" s="914">
        <v>2.4</v>
      </c>
      <c r="G135" s="914">
        <v>1.2</v>
      </c>
      <c r="H135" s="914">
        <v>2.8</v>
      </c>
      <c r="I135" s="914">
        <v>2.2000000000000002</v>
      </c>
      <c r="J135" s="919">
        <v>2.9</v>
      </c>
      <c r="K135" s="914">
        <v>4.3</v>
      </c>
      <c r="L135" s="914">
        <v>4.9000000000000004</v>
      </c>
      <c r="M135" s="914">
        <v>5.8</v>
      </c>
      <c r="N135" s="914">
        <v>6.5</v>
      </c>
      <c r="O135" s="914">
        <v>7.3</v>
      </c>
    </row>
    <row r="136" spans="1:15" ht="6" customHeight="1">
      <c r="A136" s="895"/>
      <c r="B136" s="933"/>
      <c r="C136" s="933"/>
      <c r="D136" s="934"/>
      <c r="E136" s="934"/>
      <c r="F136" s="934"/>
      <c r="G136" s="934"/>
      <c r="H136" s="934"/>
      <c r="I136" s="934"/>
      <c r="J136" s="934"/>
      <c r="K136" s="934"/>
      <c r="L136" s="934"/>
      <c r="M136" s="934"/>
      <c r="N136" s="934"/>
      <c r="O136" s="934"/>
    </row>
    <row r="137" spans="1:15" ht="6" customHeight="1">
      <c r="B137" s="928"/>
      <c r="C137" s="928"/>
      <c r="E137" s="914"/>
      <c r="F137" s="914"/>
      <c r="G137" s="914"/>
      <c r="H137" s="914"/>
      <c r="I137" s="914"/>
      <c r="J137" s="914"/>
      <c r="K137" s="914"/>
      <c r="L137" s="914"/>
      <c r="M137" s="914"/>
      <c r="N137" s="914"/>
      <c r="O137" s="914"/>
    </row>
    <row r="138" spans="1:15" ht="12.75" customHeight="1">
      <c r="A138" s="935" t="s">
        <v>1182</v>
      </c>
      <c r="B138" s="936" t="s">
        <v>1183</v>
      </c>
      <c r="C138" s="936"/>
      <c r="D138" s="937"/>
      <c r="E138" s="938">
        <v>48.5</v>
      </c>
      <c r="F138" s="938">
        <v>60.3</v>
      </c>
      <c r="G138" s="938">
        <v>85.3</v>
      </c>
      <c r="H138" s="938">
        <v>95.7</v>
      </c>
      <c r="I138" s="938">
        <v>115.8</v>
      </c>
      <c r="J138" s="938">
        <v>121.2</v>
      </c>
      <c r="K138" s="938">
        <v>89.4</v>
      </c>
      <c r="L138" s="938">
        <v>103.4</v>
      </c>
      <c r="M138" s="938">
        <v>119</v>
      </c>
      <c r="N138" s="938">
        <v>105</v>
      </c>
      <c r="O138" s="938">
        <v>127.1</v>
      </c>
    </row>
    <row r="139" spans="1:15" ht="6" customHeight="1">
      <c r="B139" s="928"/>
      <c r="C139" s="928"/>
      <c r="I139" s="890"/>
      <c r="J139" s="890"/>
      <c r="K139" s="890"/>
      <c r="L139" s="890"/>
      <c r="M139" s="890"/>
      <c r="N139" s="890"/>
      <c r="O139" s="890"/>
    </row>
    <row r="140" spans="1:15" ht="11.1" customHeight="1">
      <c r="A140" s="912" t="s">
        <v>1184</v>
      </c>
      <c r="B140" s="913" t="s">
        <v>1185</v>
      </c>
      <c r="C140" s="913"/>
      <c r="D140" s="914"/>
      <c r="E140" s="914">
        <v>28.7</v>
      </c>
      <c r="F140" s="914">
        <v>14.6</v>
      </c>
      <c r="G140" s="914">
        <v>67.900000000000006</v>
      </c>
      <c r="H140" s="914">
        <v>52.2</v>
      </c>
      <c r="I140" s="914">
        <v>99.2</v>
      </c>
      <c r="J140" s="914">
        <v>111.5</v>
      </c>
      <c r="K140" s="914">
        <v>47.1</v>
      </c>
      <c r="L140" s="914">
        <v>54.6</v>
      </c>
      <c r="M140" s="914">
        <v>84.5</v>
      </c>
      <c r="N140" s="914">
        <v>53.1</v>
      </c>
      <c r="O140" s="914">
        <v>82.1</v>
      </c>
    </row>
    <row r="141" spans="1:15" ht="11.1" customHeight="1">
      <c r="B141" s="799" t="s">
        <v>1186</v>
      </c>
      <c r="C141" s="799" t="s">
        <v>1187</v>
      </c>
      <c r="D141" s="914"/>
      <c r="E141" s="914">
        <v>28.6</v>
      </c>
      <c r="F141" s="914">
        <v>14.6</v>
      </c>
      <c r="G141" s="914">
        <v>67.900000000000006</v>
      </c>
      <c r="H141" s="914">
        <v>52</v>
      </c>
      <c r="I141" s="914">
        <v>99.2</v>
      </c>
      <c r="J141" s="914">
        <v>111.5</v>
      </c>
      <c r="K141" s="914">
        <v>47.1</v>
      </c>
      <c r="L141" s="914">
        <v>54.6</v>
      </c>
      <c r="M141" s="914">
        <v>84.5</v>
      </c>
      <c r="N141" s="914">
        <v>52.8</v>
      </c>
      <c r="O141" s="914">
        <v>81.7</v>
      </c>
    </row>
    <row r="142" spans="1:15" ht="11.1" customHeight="1">
      <c r="B142" s="799" t="s">
        <v>1188</v>
      </c>
      <c r="C142" s="939" t="s">
        <v>1189</v>
      </c>
      <c r="D142" s="914"/>
      <c r="E142" s="914">
        <v>17.3</v>
      </c>
      <c r="F142" s="914">
        <v>5.6</v>
      </c>
      <c r="G142" s="914">
        <v>16</v>
      </c>
      <c r="H142" s="914">
        <v>3.9</v>
      </c>
      <c r="I142" s="914">
        <v>20.6</v>
      </c>
      <c r="J142" s="914">
        <v>27</v>
      </c>
      <c r="K142" s="914">
        <v>4</v>
      </c>
      <c r="L142" s="919">
        <v>3.2</v>
      </c>
      <c r="M142" s="914">
        <v>17.8</v>
      </c>
      <c r="N142" s="914">
        <v>6.3</v>
      </c>
      <c r="O142" s="914">
        <v>15</v>
      </c>
    </row>
    <row r="143" spans="1:15" ht="11.1" customHeight="1">
      <c r="B143" s="799" t="s">
        <v>1190</v>
      </c>
      <c r="C143" s="799" t="s">
        <v>1191</v>
      </c>
      <c r="D143" s="914"/>
      <c r="E143" s="914">
        <v>11.3</v>
      </c>
      <c r="F143" s="914">
        <v>8.9</v>
      </c>
      <c r="G143" s="914">
        <v>51.9</v>
      </c>
      <c r="H143" s="914">
        <v>48.1</v>
      </c>
      <c r="I143" s="914">
        <v>78.599999999999994</v>
      </c>
      <c r="J143" s="914">
        <v>84.5</v>
      </c>
      <c r="K143" s="914">
        <v>43.1</v>
      </c>
      <c r="L143" s="914">
        <v>51.5</v>
      </c>
      <c r="M143" s="914">
        <v>66.7</v>
      </c>
      <c r="N143" s="914">
        <v>46.5</v>
      </c>
      <c r="O143" s="914">
        <v>66.8</v>
      </c>
    </row>
    <row r="144" spans="1:15" ht="11.1" customHeight="1">
      <c r="B144" s="799" t="s">
        <v>1192</v>
      </c>
      <c r="C144" s="918" t="s">
        <v>1193</v>
      </c>
      <c r="D144" s="914"/>
      <c r="E144" s="844" t="s">
        <v>1036</v>
      </c>
      <c r="F144" s="844" t="s">
        <v>1035</v>
      </c>
      <c r="G144" s="844" t="s">
        <v>1035</v>
      </c>
      <c r="H144" s="844" t="s">
        <v>1036</v>
      </c>
      <c r="I144" s="844" t="s">
        <v>1035</v>
      </c>
      <c r="J144" s="844" t="s">
        <v>1035</v>
      </c>
      <c r="K144" s="844" t="s">
        <v>1035</v>
      </c>
      <c r="L144" s="844" t="s">
        <v>1035</v>
      </c>
      <c r="M144" s="844" t="s">
        <v>1035</v>
      </c>
      <c r="N144" s="844" t="s">
        <v>1036</v>
      </c>
      <c r="O144" s="844" t="s">
        <v>1036</v>
      </c>
    </row>
    <row r="145" spans="1:15" ht="6" customHeight="1">
      <c r="B145" s="799"/>
      <c r="C145" s="918"/>
      <c r="D145" s="914"/>
      <c r="E145" s="914"/>
      <c r="F145" s="914"/>
      <c r="G145" s="914"/>
      <c r="H145" s="914"/>
      <c r="I145" s="914"/>
      <c r="J145" s="914"/>
      <c r="K145" s="914"/>
      <c r="L145" s="914"/>
      <c r="M145" s="914"/>
      <c r="N145" s="914"/>
      <c r="O145" s="914"/>
    </row>
    <row r="146" spans="1:15" ht="11.1" customHeight="1">
      <c r="A146" s="940" t="s">
        <v>1194</v>
      </c>
      <c r="B146" s="913" t="s">
        <v>1195</v>
      </c>
      <c r="C146" s="913"/>
      <c r="D146" s="914"/>
      <c r="E146" s="914">
        <v>6.3</v>
      </c>
      <c r="F146" s="914">
        <v>12.8</v>
      </c>
      <c r="G146" s="914">
        <v>6.2</v>
      </c>
      <c r="H146" s="914">
        <v>12</v>
      </c>
      <c r="I146" s="914">
        <v>4.2</v>
      </c>
      <c r="J146" s="919">
        <v>2.4</v>
      </c>
      <c r="K146" s="914">
        <v>8.8000000000000007</v>
      </c>
      <c r="L146" s="914">
        <v>11.3</v>
      </c>
      <c r="M146" s="914">
        <v>7.2</v>
      </c>
      <c r="N146" s="914">
        <v>13.1</v>
      </c>
      <c r="O146" s="914">
        <v>12.1</v>
      </c>
    </row>
    <row r="147" spans="1:15" ht="11.1" customHeight="1">
      <c r="A147" s="941" t="s">
        <v>1196</v>
      </c>
      <c r="B147" s="942" t="s">
        <v>1197</v>
      </c>
      <c r="C147" s="942"/>
      <c r="D147" s="943"/>
      <c r="E147" s="943"/>
      <c r="F147" s="943"/>
      <c r="G147" s="943"/>
      <c r="H147" s="943"/>
      <c r="I147" s="943"/>
      <c r="J147" s="943"/>
      <c r="K147" s="943"/>
      <c r="L147" s="943"/>
      <c r="M147" s="943"/>
      <c r="N147" s="943"/>
      <c r="O147" s="943"/>
    </row>
    <row r="148" spans="1:15" ht="11.1" customHeight="1">
      <c r="A148" s="944"/>
      <c r="B148" s="945" t="s">
        <v>1198</v>
      </c>
      <c r="C148" s="945"/>
      <c r="D148" s="943"/>
      <c r="E148" s="943">
        <v>10.1</v>
      </c>
      <c r="F148" s="943">
        <v>10.6</v>
      </c>
      <c r="G148" s="943">
        <v>9.4</v>
      </c>
      <c r="H148" s="943">
        <v>10.199999999999999</v>
      </c>
      <c r="I148" s="943">
        <v>10.4</v>
      </c>
      <c r="J148" s="943">
        <v>8.6999999999999993</v>
      </c>
      <c r="K148" s="943">
        <v>10.3</v>
      </c>
      <c r="L148" s="943">
        <v>11</v>
      </c>
      <c r="M148" s="943">
        <v>10</v>
      </c>
      <c r="N148" s="943">
        <v>12.1</v>
      </c>
      <c r="O148" s="943">
        <v>11.3</v>
      </c>
    </row>
    <row r="149" spans="1:15" ht="6" customHeight="1">
      <c r="A149" s="944"/>
      <c r="B149" s="946"/>
      <c r="C149" s="946"/>
      <c r="D149" s="943"/>
      <c r="E149" s="947"/>
      <c r="F149" s="947"/>
      <c r="G149" s="948"/>
      <c r="H149" s="948"/>
      <c r="I149" s="947"/>
      <c r="J149" s="947"/>
      <c r="K149" s="947"/>
      <c r="L149" s="947"/>
      <c r="M149" s="947"/>
      <c r="N149" s="947"/>
      <c r="O149" s="947"/>
    </row>
    <row r="150" spans="1:15" ht="11.1" customHeight="1">
      <c r="A150" s="941" t="s">
        <v>1199</v>
      </c>
      <c r="B150" s="946" t="s">
        <v>1200</v>
      </c>
      <c r="C150" s="943"/>
      <c r="D150" s="943"/>
      <c r="E150" s="943">
        <v>20.7</v>
      </c>
      <c r="F150" s="943">
        <v>27.9</v>
      </c>
      <c r="G150" s="943">
        <v>17.899999999999999</v>
      </c>
      <c r="H150" s="943">
        <v>25.2</v>
      </c>
      <c r="I150" s="943">
        <v>22.6</v>
      </c>
      <c r="J150" s="943">
        <v>25.6</v>
      </c>
      <c r="K150" s="943">
        <v>27.2</v>
      </c>
      <c r="L150" s="943">
        <v>29.6</v>
      </c>
      <c r="M150" s="943">
        <v>35</v>
      </c>
      <c r="N150" s="943">
        <v>32.9</v>
      </c>
      <c r="O150" s="943">
        <v>36.6</v>
      </c>
    </row>
    <row r="151" spans="1:15" ht="11.1" customHeight="1">
      <c r="A151" s="917"/>
      <c r="B151" s="898" t="s">
        <v>1201</v>
      </c>
      <c r="C151" s="918" t="s">
        <v>113</v>
      </c>
      <c r="D151" s="917"/>
      <c r="E151" s="914">
        <v>10.6</v>
      </c>
      <c r="F151" s="914">
        <v>14.1</v>
      </c>
      <c r="G151" s="914">
        <v>10.5</v>
      </c>
      <c r="H151" s="914">
        <v>13.7</v>
      </c>
      <c r="I151" s="914">
        <v>13</v>
      </c>
      <c r="J151" s="914">
        <v>14</v>
      </c>
      <c r="K151" s="914">
        <v>14.8</v>
      </c>
      <c r="L151" s="914">
        <v>15.3</v>
      </c>
      <c r="M151" s="914">
        <v>18.899999999999999</v>
      </c>
      <c r="N151" s="914">
        <v>17.399999999999999</v>
      </c>
      <c r="O151" s="914">
        <v>18.899999999999999</v>
      </c>
    </row>
    <row r="152" spans="1:15" ht="11.1" customHeight="1">
      <c r="A152" s="917"/>
      <c r="B152" s="898" t="s">
        <v>1202</v>
      </c>
      <c r="C152" s="918" t="s">
        <v>112</v>
      </c>
      <c r="D152" s="917"/>
      <c r="E152" s="914">
        <v>8.4</v>
      </c>
      <c r="F152" s="914">
        <v>11.4</v>
      </c>
      <c r="G152" s="914">
        <v>6.9</v>
      </c>
      <c r="H152" s="914">
        <v>10.1</v>
      </c>
      <c r="I152" s="914">
        <v>9.5</v>
      </c>
      <c r="J152" s="914">
        <v>11.3</v>
      </c>
      <c r="K152" s="914">
        <v>11.3</v>
      </c>
      <c r="L152" s="914">
        <v>13.3</v>
      </c>
      <c r="M152" s="914">
        <v>14.5</v>
      </c>
      <c r="N152" s="914">
        <v>13.1</v>
      </c>
      <c r="O152" s="914">
        <v>15.7</v>
      </c>
    </row>
    <row r="153" spans="1:15" ht="11.1" customHeight="1">
      <c r="A153" s="917"/>
      <c r="B153" s="898" t="s">
        <v>1203</v>
      </c>
      <c r="C153" s="917" t="s">
        <v>1204</v>
      </c>
      <c r="D153" s="917"/>
      <c r="E153" s="914">
        <v>1.7</v>
      </c>
      <c r="F153" s="914">
        <v>2.4</v>
      </c>
      <c r="G153" s="914">
        <v>0.5</v>
      </c>
      <c r="H153" s="914">
        <v>1.4</v>
      </c>
      <c r="I153" s="844" t="s">
        <v>1036</v>
      </c>
      <c r="J153" s="844" t="s">
        <v>1036</v>
      </c>
      <c r="K153" s="914">
        <v>1.1000000000000001</v>
      </c>
      <c r="L153" s="914">
        <v>1</v>
      </c>
      <c r="M153" s="914">
        <v>1.6</v>
      </c>
      <c r="N153" s="914">
        <v>2.4</v>
      </c>
      <c r="O153" s="919">
        <v>2</v>
      </c>
    </row>
    <row r="154" spans="1:15" ht="39" customHeight="1">
      <c r="A154" s="984"/>
      <c r="B154" s="985"/>
      <c r="C154" s="985"/>
      <c r="D154" s="985"/>
      <c r="E154" s="986">
        <f>SUM(E148+E150)/E138</f>
        <v>0.63505154639175254</v>
      </c>
      <c r="F154" s="986">
        <f t="shared" ref="F154:O154" si="0">SUM(F148+F150)/F138</f>
        <v>0.63847429519071308</v>
      </c>
      <c r="G154" s="986">
        <f t="shared" si="0"/>
        <v>0.3200468933177022</v>
      </c>
      <c r="H154" s="986">
        <f t="shared" si="0"/>
        <v>0.36990595611285265</v>
      </c>
      <c r="I154" s="986">
        <f t="shared" si="0"/>
        <v>0.28497409326424872</v>
      </c>
      <c r="J154" s="986">
        <f t="shared" si="0"/>
        <v>0.28300330033003296</v>
      </c>
      <c r="K154" s="986">
        <f t="shared" si="0"/>
        <v>0.4194630872483221</v>
      </c>
      <c r="L154" s="986">
        <f t="shared" si="0"/>
        <v>0.39264990328820115</v>
      </c>
      <c r="M154" s="986">
        <f t="shared" si="0"/>
        <v>0.37815126050420167</v>
      </c>
      <c r="N154" s="986">
        <f t="shared" si="0"/>
        <v>0.42857142857142855</v>
      </c>
      <c r="O154" s="986">
        <f t="shared" si="0"/>
        <v>0.37686860739575145</v>
      </c>
    </row>
    <row r="155" spans="1:15" ht="6" customHeight="1">
      <c r="A155" s="798"/>
      <c r="B155" s="928"/>
      <c r="C155" s="928"/>
      <c r="E155" s="914"/>
      <c r="F155" s="914"/>
      <c r="G155" s="914"/>
      <c r="H155" s="914"/>
      <c r="I155" s="914"/>
      <c r="J155" s="914"/>
      <c r="K155" s="914"/>
      <c r="L155" s="914"/>
      <c r="M155" s="914"/>
    </row>
    <row r="156" spans="1:15" ht="11.1" customHeight="1">
      <c r="A156" s="850" t="s">
        <v>1047</v>
      </c>
      <c r="B156" s="928"/>
      <c r="C156" s="928"/>
      <c r="E156" s="914"/>
      <c r="F156" s="914"/>
      <c r="G156" s="914"/>
      <c r="H156" s="914"/>
      <c r="I156" s="914"/>
      <c r="J156" s="914"/>
      <c r="K156" s="914"/>
      <c r="L156" s="914"/>
      <c r="M156" s="914"/>
    </row>
    <row r="157" spans="1:15" ht="11.1" customHeight="1">
      <c r="A157" s="850" t="s">
        <v>1137</v>
      </c>
      <c r="B157" s="928"/>
      <c r="C157" s="928"/>
      <c r="E157" s="914"/>
      <c r="F157" s="914"/>
      <c r="G157" s="914"/>
      <c r="H157" s="914"/>
      <c r="I157" s="914"/>
      <c r="J157" s="914"/>
      <c r="K157" s="914"/>
      <c r="L157" s="914"/>
      <c r="M157" s="914"/>
    </row>
    <row r="158" spans="1:15" ht="11.1" customHeight="1">
      <c r="A158" s="845" t="s">
        <v>1048</v>
      </c>
      <c r="B158" s="928"/>
      <c r="C158" s="928"/>
      <c r="E158" s="914"/>
      <c r="F158" s="914"/>
      <c r="G158" s="914"/>
      <c r="H158" s="914"/>
      <c r="I158" s="914"/>
      <c r="J158" s="914"/>
      <c r="K158" s="914"/>
      <c r="L158" s="914"/>
      <c r="M158" s="914"/>
    </row>
    <row r="159" spans="1:15" ht="11.1" customHeight="1">
      <c r="A159" s="951" t="s">
        <v>1205</v>
      </c>
      <c r="B159" s="928"/>
      <c r="C159" s="928"/>
      <c r="E159" s="914"/>
      <c r="F159" s="914"/>
      <c r="G159" s="914"/>
      <c r="H159" s="914"/>
      <c r="I159" s="914"/>
      <c r="J159" s="914"/>
      <c r="K159" s="914"/>
      <c r="L159" s="914"/>
      <c r="M159" s="914"/>
    </row>
    <row r="160" spans="1:15" ht="11.1" customHeight="1">
      <c r="A160" s="951" t="s">
        <v>1206</v>
      </c>
      <c r="B160" s="928"/>
      <c r="C160" s="928"/>
      <c r="E160" s="798"/>
      <c r="F160" s="914"/>
      <c r="G160" s="914"/>
      <c r="H160" s="914"/>
      <c r="I160" s="914"/>
      <c r="J160" s="914"/>
      <c r="K160" s="914"/>
      <c r="L160" s="914"/>
      <c r="M160" s="914"/>
    </row>
    <row r="161" spans="1:15" ht="11.1" customHeight="1">
      <c r="B161" s="928"/>
      <c r="C161" s="928"/>
      <c r="E161" s="798"/>
      <c r="F161" s="914"/>
      <c r="G161" s="914"/>
      <c r="H161" s="914"/>
      <c r="I161" s="914"/>
      <c r="J161" s="914"/>
      <c r="K161" s="914"/>
      <c r="L161" s="914"/>
      <c r="M161" s="914"/>
    </row>
    <row r="162" spans="1:15" ht="11.1" customHeight="1">
      <c r="B162" s="928"/>
      <c r="C162" s="928"/>
      <c r="E162" s="914"/>
      <c r="F162" s="914"/>
      <c r="G162" s="914"/>
      <c r="H162" s="914"/>
      <c r="I162" s="914"/>
      <c r="J162" s="914"/>
      <c r="K162" s="914"/>
      <c r="L162" s="914"/>
      <c r="M162" s="914"/>
    </row>
    <row r="163" spans="1:15" ht="11.1" customHeight="1">
      <c r="B163" s="928"/>
      <c r="C163" s="928"/>
      <c r="E163" s="914"/>
      <c r="F163" s="914"/>
      <c r="G163" s="914"/>
      <c r="H163" s="914"/>
      <c r="I163" s="914"/>
      <c r="J163" s="914"/>
      <c r="K163" s="914"/>
      <c r="L163" s="914"/>
      <c r="M163" s="914"/>
    </row>
    <row r="167" spans="1:15" ht="15.75" customHeight="1">
      <c r="A167" s="782" t="s">
        <v>919</v>
      </c>
      <c r="B167" s="782"/>
    </row>
    <row r="168" spans="1:15" ht="15.75" customHeight="1">
      <c r="A168" s="782" t="s">
        <v>1052</v>
      </c>
      <c r="B168" s="891"/>
      <c r="C168" s="784"/>
      <c r="D168" s="789"/>
      <c r="E168" s="789"/>
      <c r="F168" s="892"/>
      <c r="G168" s="892"/>
      <c r="H168" s="893"/>
    </row>
    <row r="169" spans="1:15" ht="15.75" customHeight="1">
      <c r="A169" s="792" t="s">
        <v>1448</v>
      </c>
      <c r="B169" s="894"/>
      <c r="C169" s="870"/>
      <c r="D169" s="793"/>
      <c r="E169" s="789"/>
      <c r="F169" s="892"/>
      <c r="G169" s="892"/>
      <c r="H169" s="893"/>
    </row>
    <row r="170" spans="1:15" ht="3" customHeight="1">
      <c r="A170" s="895"/>
      <c r="B170" s="794"/>
      <c r="C170" s="794"/>
      <c r="D170" s="795"/>
      <c r="E170" s="896"/>
      <c r="F170" s="896"/>
      <c r="G170" s="896"/>
      <c r="H170" s="896"/>
      <c r="I170" s="896"/>
      <c r="J170" s="896"/>
      <c r="K170" s="896"/>
      <c r="L170" s="896"/>
      <c r="M170" s="896"/>
    </row>
    <row r="171" spans="1:15" ht="3" customHeight="1">
      <c r="A171" s="898"/>
      <c r="B171" s="800"/>
      <c r="C171" s="800"/>
      <c r="D171" s="801"/>
      <c r="E171" s="899"/>
      <c r="F171" s="899"/>
      <c r="G171" s="899"/>
      <c r="H171" s="899"/>
      <c r="I171" s="801"/>
      <c r="J171" s="899"/>
      <c r="K171" s="801"/>
      <c r="L171" s="899"/>
      <c r="M171" s="801"/>
      <c r="N171" s="900"/>
      <c r="O171" s="900"/>
    </row>
    <row r="172" spans="1:15" ht="12.75" customHeight="1">
      <c r="A172" s="799"/>
      <c r="B172" s="800"/>
      <c r="C172" s="801"/>
      <c r="D172" s="801"/>
      <c r="E172" s="805" t="s">
        <v>912</v>
      </c>
      <c r="F172" s="805"/>
      <c r="G172" s="805" t="s">
        <v>146</v>
      </c>
      <c r="H172" s="806"/>
      <c r="I172" s="805" t="s">
        <v>913</v>
      </c>
      <c r="J172" s="805"/>
      <c r="K172" s="805"/>
      <c r="L172" s="805"/>
      <c r="M172" s="805"/>
      <c r="N172" s="805"/>
      <c r="O172" s="805"/>
    </row>
    <row r="173" spans="1:15" ht="12.75" customHeight="1">
      <c r="A173" s="807"/>
      <c r="C173" s="808"/>
      <c r="D173" s="808"/>
      <c r="E173" s="805"/>
      <c r="F173" s="806"/>
      <c r="G173" s="817" t="s">
        <v>929</v>
      </c>
      <c r="H173" s="813" t="s">
        <v>931</v>
      </c>
      <c r="I173" s="805" t="s">
        <v>922</v>
      </c>
      <c r="J173" s="902"/>
      <c r="K173" s="805" t="s">
        <v>923</v>
      </c>
      <c r="L173" s="902"/>
      <c r="M173" s="806"/>
      <c r="N173" s="903" t="s">
        <v>924</v>
      </c>
      <c r="O173" s="806"/>
    </row>
    <row r="174" spans="1:15" ht="12.75" customHeight="1">
      <c r="A174" s="904"/>
      <c r="B174" s="904"/>
      <c r="C174" s="816"/>
      <c r="D174" s="816"/>
      <c r="E174" s="817" t="s">
        <v>929</v>
      </c>
      <c r="F174" s="817" t="s">
        <v>930</v>
      </c>
      <c r="G174" s="813" t="s">
        <v>935</v>
      </c>
      <c r="H174" s="813" t="s">
        <v>936</v>
      </c>
      <c r="I174" s="817" t="s">
        <v>932</v>
      </c>
      <c r="J174" s="820" t="s">
        <v>932</v>
      </c>
      <c r="K174" s="813" t="s">
        <v>932</v>
      </c>
      <c r="L174" s="820" t="s">
        <v>932</v>
      </c>
      <c r="M174" s="820" t="s">
        <v>932</v>
      </c>
      <c r="N174" s="820" t="s">
        <v>933</v>
      </c>
      <c r="O174" s="820" t="s">
        <v>932</v>
      </c>
    </row>
    <row r="175" spans="1:15" ht="12.75" customHeight="1">
      <c r="A175" s="904"/>
      <c r="B175" s="904"/>
      <c r="C175" s="816"/>
      <c r="D175" s="816"/>
      <c r="E175" s="813" t="s">
        <v>935</v>
      </c>
      <c r="F175" s="817" t="s">
        <v>936</v>
      </c>
      <c r="G175" s="813" t="s">
        <v>26</v>
      </c>
      <c r="H175" s="813"/>
      <c r="I175" s="817" t="s">
        <v>937</v>
      </c>
      <c r="J175" s="817" t="s">
        <v>938</v>
      </c>
      <c r="K175" s="817" t="s">
        <v>937</v>
      </c>
      <c r="L175" s="817" t="s">
        <v>938</v>
      </c>
      <c r="M175" s="817" t="s">
        <v>939</v>
      </c>
      <c r="N175" s="817" t="s">
        <v>940</v>
      </c>
      <c r="O175" s="817" t="s">
        <v>940</v>
      </c>
    </row>
    <row r="176" spans="1:15" ht="12.75" customHeight="1">
      <c r="A176" s="904"/>
      <c r="B176" s="904"/>
      <c r="C176" s="816"/>
      <c r="D176" s="816"/>
      <c r="E176" s="793"/>
      <c r="F176" s="817"/>
      <c r="G176" s="793"/>
      <c r="H176" s="793"/>
      <c r="I176" s="817" t="s">
        <v>941</v>
      </c>
      <c r="J176" s="817" t="s">
        <v>942</v>
      </c>
      <c r="K176" s="817" t="s">
        <v>941</v>
      </c>
      <c r="L176" s="817" t="s">
        <v>940</v>
      </c>
      <c r="M176" s="817" t="s">
        <v>942</v>
      </c>
      <c r="N176" s="813"/>
      <c r="O176" s="813"/>
    </row>
    <row r="177" spans="1:15" ht="12.75" customHeight="1">
      <c r="A177" s="821"/>
      <c r="B177" s="821"/>
      <c r="C177" s="821"/>
      <c r="D177" s="821"/>
      <c r="E177" s="822"/>
      <c r="F177" s="822"/>
      <c r="G177" s="822"/>
      <c r="H177" s="822"/>
      <c r="I177" s="793"/>
      <c r="J177" s="817" t="s">
        <v>940</v>
      </c>
      <c r="K177" s="793"/>
      <c r="L177" s="793"/>
      <c r="M177" s="817" t="s">
        <v>940</v>
      </c>
      <c r="N177" s="793"/>
      <c r="O177" s="793"/>
    </row>
    <row r="178" spans="1:15" ht="3" customHeight="1">
      <c r="A178" s="794"/>
      <c r="B178" s="794"/>
      <c r="C178" s="795"/>
      <c r="D178" s="795"/>
      <c r="E178" s="796"/>
      <c r="F178" s="796"/>
      <c r="G178" s="796"/>
      <c r="H178" s="796"/>
      <c r="I178" s="796"/>
      <c r="J178" s="795"/>
      <c r="K178" s="795"/>
      <c r="L178" s="796"/>
      <c r="M178" s="796"/>
      <c r="N178" s="796"/>
      <c r="O178" s="796"/>
    </row>
    <row r="179" spans="1:15" ht="3" customHeight="1">
      <c r="B179" s="928"/>
      <c r="C179" s="928"/>
      <c r="I179" s="890"/>
      <c r="J179" s="890"/>
      <c r="K179" s="890"/>
      <c r="L179" s="890"/>
      <c r="M179" s="890"/>
    </row>
    <row r="180" spans="1:15" ht="12.75" customHeight="1">
      <c r="A180" s="909" t="s">
        <v>1030</v>
      </c>
      <c r="B180" s="834"/>
      <c r="C180" s="834"/>
      <c r="D180" s="835"/>
      <c r="E180" s="1335" t="s">
        <v>1031</v>
      </c>
      <c r="F180" s="1335"/>
      <c r="G180" s="1335"/>
      <c r="H180" s="1335"/>
      <c r="I180" s="1335"/>
      <c r="J180" s="1335"/>
      <c r="K180" s="1335"/>
      <c r="L180" s="1335"/>
      <c r="M180" s="1335"/>
    </row>
    <row r="181" spans="1:15" ht="3" customHeight="1">
      <c r="A181" s="895"/>
      <c r="B181" s="795"/>
      <c r="C181" s="795"/>
      <c r="D181" s="795"/>
      <c r="E181" s="896"/>
      <c r="F181" s="896"/>
      <c r="G181" s="896"/>
      <c r="H181" s="896"/>
      <c r="I181" s="896"/>
      <c r="J181" s="896"/>
      <c r="K181" s="896"/>
      <c r="L181" s="896"/>
      <c r="M181" s="896"/>
      <c r="N181" s="795"/>
      <c r="O181" s="795"/>
    </row>
    <row r="182" spans="1:15" ht="3" customHeight="1">
      <c r="B182" s="928"/>
      <c r="C182" s="928"/>
      <c r="E182" s="914"/>
      <c r="F182" s="914"/>
      <c r="G182" s="914"/>
      <c r="H182" s="914"/>
      <c r="I182" s="914"/>
      <c r="J182" s="914"/>
      <c r="K182" s="914"/>
      <c r="L182" s="914"/>
      <c r="M182" s="914"/>
      <c r="N182" s="914"/>
      <c r="O182" s="914"/>
    </row>
    <row r="183" spans="1:15" ht="12.75" customHeight="1">
      <c r="A183" s="910" t="s">
        <v>1207</v>
      </c>
      <c r="B183" s="861" t="s">
        <v>1208</v>
      </c>
      <c r="C183" s="861"/>
      <c r="D183" s="862"/>
      <c r="E183" s="911">
        <v>20.8</v>
      </c>
      <c r="F183" s="911">
        <v>37.4</v>
      </c>
      <c r="G183" s="911">
        <v>24.3</v>
      </c>
      <c r="H183" s="911">
        <v>40.6</v>
      </c>
      <c r="I183" s="911">
        <v>24.4</v>
      </c>
      <c r="J183" s="911">
        <v>14.7</v>
      </c>
      <c r="K183" s="911">
        <v>39.799999999999997</v>
      </c>
      <c r="L183" s="911">
        <v>40.299999999999997</v>
      </c>
      <c r="M183" s="911">
        <v>33.200000000000003</v>
      </c>
      <c r="N183" s="911">
        <v>50.8</v>
      </c>
      <c r="O183" s="911">
        <v>42.4</v>
      </c>
    </row>
    <row r="184" spans="1:15" ht="3" customHeight="1">
      <c r="A184" s="952"/>
      <c r="B184" s="952"/>
      <c r="C184" s="952"/>
      <c r="D184" s="875"/>
      <c r="I184" s="890"/>
      <c r="J184" s="890"/>
      <c r="K184" s="890"/>
      <c r="L184" s="890"/>
      <c r="M184" s="890"/>
      <c r="N184" s="890"/>
      <c r="O184" s="890"/>
    </row>
    <row r="185" spans="1:15" ht="11.1" customHeight="1">
      <c r="A185" s="912" t="s">
        <v>1209</v>
      </c>
      <c r="B185" s="913" t="s">
        <v>1210</v>
      </c>
      <c r="C185" s="913"/>
      <c r="D185" s="914"/>
      <c r="E185" s="914"/>
      <c r="F185" s="914"/>
      <c r="G185" s="914"/>
      <c r="H185" s="914"/>
      <c r="I185" s="914"/>
      <c r="J185" s="914"/>
      <c r="K185" s="914"/>
      <c r="L185" s="914"/>
      <c r="M185" s="914"/>
      <c r="N185" s="914"/>
      <c r="O185" s="914"/>
    </row>
    <row r="186" spans="1:15" ht="11.1" customHeight="1">
      <c r="B186" s="913" t="s">
        <v>1211</v>
      </c>
      <c r="C186" s="913"/>
      <c r="D186" s="914"/>
      <c r="E186" s="914">
        <v>7.3</v>
      </c>
      <c r="F186" s="914">
        <v>15.8</v>
      </c>
      <c r="G186" s="914">
        <v>15</v>
      </c>
      <c r="H186" s="914">
        <v>23</v>
      </c>
      <c r="I186" s="914">
        <v>10.5</v>
      </c>
      <c r="J186" s="914">
        <v>7</v>
      </c>
      <c r="K186" s="914">
        <v>20.8</v>
      </c>
      <c r="L186" s="914">
        <v>20.100000000000001</v>
      </c>
      <c r="M186" s="914">
        <v>14.6</v>
      </c>
      <c r="N186" s="914">
        <v>27.8</v>
      </c>
      <c r="O186" s="914">
        <v>21.4</v>
      </c>
    </row>
    <row r="187" spans="1:15" ht="11.1" customHeight="1">
      <c r="A187" s="917"/>
      <c r="B187" s="898" t="s">
        <v>1212</v>
      </c>
      <c r="C187" s="918" t="s">
        <v>1213</v>
      </c>
      <c r="D187" s="917"/>
      <c r="E187" s="914">
        <v>4.8</v>
      </c>
      <c r="F187" s="914">
        <v>12.3</v>
      </c>
      <c r="G187" s="914">
        <v>12.4</v>
      </c>
      <c r="H187" s="914">
        <v>17.3</v>
      </c>
      <c r="I187" s="914">
        <v>9.5</v>
      </c>
      <c r="J187" s="914">
        <v>5.3</v>
      </c>
      <c r="K187" s="914">
        <v>16.600000000000001</v>
      </c>
      <c r="L187" s="914">
        <v>17.5</v>
      </c>
      <c r="M187" s="914">
        <v>12.7</v>
      </c>
      <c r="N187" s="914">
        <v>23.1</v>
      </c>
      <c r="O187" s="914">
        <v>17.7</v>
      </c>
    </row>
    <row r="188" spans="1:15" ht="11.1" customHeight="1">
      <c r="A188" s="917"/>
      <c r="B188" s="898" t="s">
        <v>1214</v>
      </c>
      <c r="C188" s="918" t="s">
        <v>1215</v>
      </c>
      <c r="D188" s="917"/>
      <c r="E188" s="914">
        <v>2.4</v>
      </c>
      <c r="F188" s="914">
        <v>3.4</v>
      </c>
      <c r="G188" s="914">
        <v>2.7</v>
      </c>
      <c r="H188" s="914">
        <v>5.7</v>
      </c>
      <c r="I188" s="920">
        <v>0.9</v>
      </c>
      <c r="J188" s="920">
        <v>1.8</v>
      </c>
      <c r="K188" s="914">
        <v>4.2</v>
      </c>
      <c r="L188" s="914">
        <v>2.6</v>
      </c>
      <c r="M188" s="919">
        <v>1.9</v>
      </c>
      <c r="N188" s="914">
        <v>4.5999999999999996</v>
      </c>
      <c r="O188" s="914">
        <v>3.7</v>
      </c>
    </row>
    <row r="189" spans="1:15" ht="3" customHeight="1">
      <c r="A189" s="846"/>
      <c r="B189" s="846"/>
      <c r="C189" s="846"/>
      <c r="D189" s="846"/>
      <c r="E189" s="914"/>
      <c r="F189" s="914"/>
      <c r="G189" s="914"/>
      <c r="H189" s="914"/>
      <c r="I189" s="920"/>
      <c r="J189" s="920"/>
      <c r="K189" s="914"/>
      <c r="L189" s="914"/>
      <c r="M189" s="914"/>
      <c r="N189" s="914"/>
      <c r="O189" s="914"/>
    </row>
    <row r="190" spans="1:15" ht="11.1" customHeight="1">
      <c r="A190" s="912" t="s">
        <v>1216</v>
      </c>
      <c r="B190" s="913" t="s">
        <v>1217</v>
      </c>
      <c r="C190" s="913"/>
      <c r="D190" s="914"/>
      <c r="E190" s="914">
        <v>1.1000000000000001</v>
      </c>
      <c r="F190" s="914">
        <v>2.2999999999999998</v>
      </c>
      <c r="G190" s="914">
        <v>1.3</v>
      </c>
      <c r="H190" s="914">
        <v>2.2000000000000002</v>
      </c>
      <c r="I190" s="920">
        <v>1.6</v>
      </c>
      <c r="J190" s="920">
        <v>0.4</v>
      </c>
      <c r="K190" s="914">
        <v>3.1</v>
      </c>
      <c r="L190" s="914">
        <v>2.2000000000000002</v>
      </c>
      <c r="M190" s="914">
        <v>2.8</v>
      </c>
      <c r="N190" s="914">
        <v>2.4</v>
      </c>
      <c r="O190" s="914">
        <v>2.4</v>
      </c>
    </row>
    <row r="191" spans="1:15" ht="11.1" customHeight="1">
      <c r="A191" s="912" t="s">
        <v>1218</v>
      </c>
      <c r="B191" s="914" t="s">
        <v>1219</v>
      </c>
      <c r="C191" s="914"/>
      <c r="D191" s="914"/>
      <c r="E191" s="914">
        <v>2.2999999999999998</v>
      </c>
      <c r="F191" s="914">
        <v>5.6</v>
      </c>
      <c r="G191" s="914">
        <v>1.7</v>
      </c>
      <c r="H191" s="914">
        <v>3.2</v>
      </c>
      <c r="I191" s="920">
        <v>4.9000000000000004</v>
      </c>
      <c r="J191" s="844" t="s">
        <v>1036</v>
      </c>
      <c r="K191" s="914">
        <v>3.5</v>
      </c>
      <c r="L191" s="914">
        <v>4</v>
      </c>
      <c r="M191" s="919">
        <v>3.9</v>
      </c>
      <c r="N191" s="914">
        <v>2.7</v>
      </c>
      <c r="O191" s="914">
        <v>4.7</v>
      </c>
    </row>
    <row r="192" spans="1:15" ht="11.1" customHeight="1">
      <c r="A192" s="912" t="s">
        <v>1220</v>
      </c>
      <c r="B192" s="913" t="s">
        <v>1221</v>
      </c>
      <c r="C192" s="913"/>
      <c r="D192" s="914"/>
      <c r="E192" s="914">
        <v>1</v>
      </c>
      <c r="F192" s="914">
        <v>1.7</v>
      </c>
      <c r="G192" s="914">
        <v>1.3</v>
      </c>
      <c r="H192" s="914">
        <v>2.2000000000000002</v>
      </c>
      <c r="I192" s="914">
        <v>1</v>
      </c>
      <c r="J192" s="914">
        <v>1.9</v>
      </c>
      <c r="K192" s="914">
        <v>2.9</v>
      </c>
      <c r="L192" s="914">
        <v>2.7</v>
      </c>
      <c r="M192" s="914">
        <v>2.2999999999999998</v>
      </c>
      <c r="N192" s="914">
        <v>2.4</v>
      </c>
      <c r="O192" s="914">
        <v>2.5</v>
      </c>
    </row>
    <row r="193" spans="1:15" ht="11.1" customHeight="1">
      <c r="A193" s="912" t="s">
        <v>1222</v>
      </c>
      <c r="B193" s="928" t="s">
        <v>1223</v>
      </c>
      <c r="C193" s="928"/>
      <c r="E193" s="914">
        <v>1.4</v>
      </c>
      <c r="F193" s="914">
        <v>4.3</v>
      </c>
      <c r="G193" s="914">
        <v>1.3</v>
      </c>
      <c r="H193" s="914">
        <v>3.8</v>
      </c>
      <c r="I193" s="914">
        <v>1.7</v>
      </c>
      <c r="J193" s="914">
        <v>1.1000000000000001</v>
      </c>
      <c r="K193" s="914">
        <v>3.5</v>
      </c>
      <c r="L193" s="914">
        <v>3.3</v>
      </c>
      <c r="M193" s="914">
        <v>2.6</v>
      </c>
      <c r="N193" s="914">
        <v>4.2</v>
      </c>
      <c r="O193" s="914">
        <v>3.9</v>
      </c>
    </row>
    <row r="194" spans="1:15" ht="3" customHeight="1">
      <c r="B194" s="913"/>
      <c r="C194" s="913"/>
      <c r="D194" s="914"/>
      <c r="E194" s="914"/>
      <c r="F194" s="914"/>
      <c r="G194" s="914"/>
      <c r="H194" s="914"/>
      <c r="I194" s="914"/>
      <c r="J194" s="914"/>
      <c r="K194" s="914"/>
      <c r="L194" s="914"/>
      <c r="M194" s="914"/>
      <c r="N194" s="914"/>
      <c r="O194" s="914"/>
    </row>
    <row r="195" spans="1:15" ht="11.1" customHeight="1">
      <c r="A195" s="912" t="s">
        <v>1224</v>
      </c>
      <c r="B195" s="913" t="s">
        <v>1225</v>
      </c>
      <c r="C195" s="913"/>
      <c r="D195" s="914"/>
      <c r="E195" s="914"/>
      <c r="F195" s="914"/>
      <c r="G195" s="914"/>
      <c r="H195" s="914"/>
      <c r="I195" s="914"/>
      <c r="J195" s="914"/>
      <c r="K195" s="914"/>
      <c r="L195" s="914"/>
      <c r="M195" s="914"/>
      <c r="N195" s="914"/>
      <c r="O195" s="914"/>
    </row>
    <row r="196" spans="1:15" ht="11.1" customHeight="1">
      <c r="B196" s="913" t="s">
        <v>1226</v>
      </c>
      <c r="C196" s="913"/>
      <c r="D196" s="914"/>
      <c r="E196" s="914">
        <v>7.7</v>
      </c>
      <c r="F196" s="914">
        <v>7.8</v>
      </c>
      <c r="G196" s="914">
        <v>3.7</v>
      </c>
      <c r="H196" s="914">
        <v>6.3</v>
      </c>
      <c r="I196" s="914">
        <v>4.8</v>
      </c>
      <c r="J196" s="914">
        <v>4.0999999999999996</v>
      </c>
      <c r="K196" s="914">
        <v>5.9</v>
      </c>
      <c r="L196" s="914">
        <v>8</v>
      </c>
      <c r="M196" s="914">
        <v>7</v>
      </c>
      <c r="N196" s="914">
        <v>11.3</v>
      </c>
      <c r="O196" s="914">
        <v>7.5</v>
      </c>
    </row>
    <row r="197" spans="1:15" ht="11.1" customHeight="1">
      <c r="A197" s="917"/>
      <c r="B197" s="898" t="s">
        <v>1227</v>
      </c>
      <c r="C197" s="918" t="s">
        <v>1228</v>
      </c>
      <c r="D197" s="917"/>
      <c r="E197" s="914">
        <v>1.6</v>
      </c>
      <c r="F197" s="914">
        <v>3</v>
      </c>
      <c r="G197" s="914">
        <v>1.5</v>
      </c>
      <c r="H197" s="914">
        <v>2.5</v>
      </c>
      <c r="I197" s="914">
        <v>2</v>
      </c>
      <c r="J197" s="914">
        <v>2.7</v>
      </c>
      <c r="K197" s="914">
        <v>2.9</v>
      </c>
      <c r="L197" s="914">
        <v>3.4</v>
      </c>
      <c r="M197" s="914">
        <v>3.9</v>
      </c>
      <c r="N197" s="914">
        <v>4.5</v>
      </c>
      <c r="O197" s="914">
        <v>4.5999999999999996</v>
      </c>
    </row>
    <row r="198" spans="1:15" ht="11.1" customHeight="1">
      <c r="A198" s="917"/>
      <c r="B198" s="898" t="s">
        <v>1229</v>
      </c>
      <c r="C198" s="918" t="s">
        <v>1230</v>
      </c>
      <c r="D198" s="917"/>
      <c r="E198" s="914">
        <v>1</v>
      </c>
      <c r="F198" s="914">
        <v>2.1</v>
      </c>
      <c r="G198" s="914">
        <v>1.2</v>
      </c>
      <c r="H198" s="914">
        <v>2.5</v>
      </c>
      <c r="I198" s="914">
        <v>1.2</v>
      </c>
      <c r="J198" s="914">
        <v>1.4</v>
      </c>
      <c r="K198" s="914">
        <v>1.9</v>
      </c>
      <c r="L198" s="914">
        <v>2.5</v>
      </c>
      <c r="M198" s="914">
        <v>2.4</v>
      </c>
      <c r="N198" s="914">
        <v>2.5</v>
      </c>
      <c r="O198" s="914">
        <v>2.5</v>
      </c>
    </row>
    <row r="199" spans="1:15" ht="11.1" customHeight="1">
      <c r="A199" s="917"/>
      <c r="B199" s="898" t="s">
        <v>1231</v>
      </c>
      <c r="C199" s="918" t="s">
        <v>1232</v>
      </c>
      <c r="D199" s="917"/>
      <c r="E199" s="914"/>
      <c r="F199" s="914"/>
      <c r="I199" s="914"/>
      <c r="J199" s="914"/>
      <c r="K199" s="914"/>
      <c r="L199" s="914"/>
      <c r="M199" s="914"/>
      <c r="N199" s="914"/>
      <c r="O199" s="914"/>
    </row>
    <row r="200" spans="1:15" ht="11.1" customHeight="1">
      <c r="A200" s="917"/>
      <c r="B200" s="898"/>
      <c r="C200" s="918" t="s">
        <v>1233</v>
      </c>
      <c r="D200" s="917"/>
      <c r="E200" s="914">
        <v>5.0999999999999996</v>
      </c>
      <c r="F200" s="914">
        <v>2.7</v>
      </c>
      <c r="G200" s="914">
        <v>0.9</v>
      </c>
      <c r="H200" s="914">
        <v>1.3</v>
      </c>
      <c r="I200" s="920" t="s">
        <v>1036</v>
      </c>
      <c r="J200" s="920" t="s">
        <v>1036</v>
      </c>
      <c r="K200" s="914">
        <v>1.1000000000000001</v>
      </c>
      <c r="L200" s="914">
        <v>2.1</v>
      </c>
      <c r="M200" s="920" t="s">
        <v>1036</v>
      </c>
      <c r="N200" s="914">
        <v>4.2</v>
      </c>
      <c r="O200" s="920" t="s">
        <v>1036</v>
      </c>
    </row>
    <row r="201" spans="1:15" ht="6" customHeight="1">
      <c r="A201" s="895"/>
      <c r="B201" s="795"/>
      <c r="C201" s="795"/>
      <c r="D201" s="795"/>
      <c r="E201" s="934"/>
      <c r="F201" s="934"/>
      <c r="G201" s="934"/>
      <c r="H201" s="934"/>
      <c r="I201" s="934"/>
      <c r="J201" s="934"/>
      <c r="K201" s="934"/>
      <c r="L201" s="934"/>
      <c r="M201" s="934"/>
      <c r="N201" s="934"/>
      <c r="O201" s="934"/>
    </row>
    <row r="202" spans="1:15" ht="4.5" customHeight="1">
      <c r="B202" s="798"/>
      <c r="C202" s="798"/>
      <c r="E202" s="914"/>
      <c r="F202" s="914"/>
      <c r="G202" s="914"/>
      <c r="H202" s="914"/>
      <c r="I202" s="914"/>
      <c r="J202" s="914"/>
      <c r="K202" s="914"/>
      <c r="L202" s="914"/>
      <c r="M202" s="914"/>
      <c r="N202" s="914"/>
      <c r="O202" s="914"/>
    </row>
    <row r="203" spans="1:15" ht="12.75" customHeight="1">
      <c r="A203" s="910" t="s">
        <v>1234</v>
      </c>
      <c r="B203" s="861" t="s">
        <v>65</v>
      </c>
      <c r="C203" s="861"/>
      <c r="D203" s="862"/>
      <c r="E203" s="911">
        <v>7.1</v>
      </c>
      <c r="F203" s="911">
        <v>16.2</v>
      </c>
      <c r="G203" s="911">
        <v>4.4000000000000004</v>
      </c>
      <c r="H203" s="911">
        <v>9</v>
      </c>
      <c r="I203" s="911">
        <v>4.5</v>
      </c>
      <c r="J203" s="911">
        <v>4.2</v>
      </c>
      <c r="K203" s="911">
        <v>8</v>
      </c>
      <c r="L203" s="911">
        <v>7.3</v>
      </c>
      <c r="M203" s="911">
        <v>7.9</v>
      </c>
      <c r="N203" s="911">
        <v>16.899999999999999</v>
      </c>
      <c r="O203" s="911">
        <v>10.199999999999999</v>
      </c>
    </row>
    <row r="204" spans="1:15" ht="3" customHeight="1">
      <c r="B204" s="928"/>
      <c r="C204" s="928"/>
      <c r="I204" s="890"/>
      <c r="J204" s="890"/>
      <c r="K204" s="890"/>
      <c r="L204" s="890"/>
      <c r="M204" s="890"/>
      <c r="N204" s="890"/>
      <c r="O204" s="890"/>
    </row>
    <row r="205" spans="1:15" ht="11.1" customHeight="1">
      <c r="A205" s="912" t="s">
        <v>1235</v>
      </c>
      <c r="B205" s="913" t="s">
        <v>1236</v>
      </c>
      <c r="C205" s="913"/>
      <c r="D205" s="914"/>
      <c r="E205" s="914">
        <v>3</v>
      </c>
      <c r="F205" s="914">
        <v>9.6</v>
      </c>
      <c r="G205" s="914">
        <v>2.6</v>
      </c>
      <c r="H205" s="914">
        <v>4.4000000000000004</v>
      </c>
      <c r="I205" s="914">
        <v>3.5</v>
      </c>
      <c r="J205" s="914">
        <v>2.2000000000000002</v>
      </c>
      <c r="K205" s="914">
        <v>4.5999999999999996</v>
      </c>
      <c r="L205" s="914">
        <v>4.2</v>
      </c>
      <c r="M205" s="914">
        <v>3</v>
      </c>
      <c r="N205" s="914">
        <v>6.4</v>
      </c>
      <c r="O205" s="914">
        <v>7.4</v>
      </c>
    </row>
    <row r="206" spans="1:15" ht="11.1" customHeight="1">
      <c r="A206" s="917"/>
      <c r="B206" s="898" t="s">
        <v>1237</v>
      </c>
      <c r="C206" s="918" t="s">
        <v>1238</v>
      </c>
      <c r="D206" s="917"/>
      <c r="E206" s="914">
        <v>1.6</v>
      </c>
      <c r="F206" s="914">
        <v>5.6</v>
      </c>
      <c r="G206" s="914">
        <v>1.5</v>
      </c>
      <c r="H206" s="914">
        <v>2.7</v>
      </c>
      <c r="I206" s="914">
        <v>2.9</v>
      </c>
      <c r="J206" s="914">
        <v>1.8</v>
      </c>
      <c r="K206" s="914">
        <v>2.9</v>
      </c>
      <c r="L206" s="914">
        <v>2.7</v>
      </c>
      <c r="M206" s="914">
        <v>2</v>
      </c>
      <c r="N206" s="914">
        <v>4.5</v>
      </c>
      <c r="O206" s="914">
        <v>4.7</v>
      </c>
    </row>
    <row r="207" spans="1:15" ht="11.1" customHeight="1">
      <c r="A207" s="917"/>
      <c r="B207" s="898" t="s">
        <v>1239</v>
      </c>
      <c r="C207" s="918" t="s">
        <v>1240</v>
      </c>
      <c r="D207" s="917"/>
      <c r="E207" s="914">
        <v>1.4</v>
      </c>
      <c r="F207" s="914">
        <v>4</v>
      </c>
      <c r="G207" s="914">
        <v>1.1000000000000001</v>
      </c>
      <c r="H207" s="914">
        <v>1.7</v>
      </c>
      <c r="I207" s="920" t="s">
        <v>1036</v>
      </c>
      <c r="J207" s="920" t="s">
        <v>1036</v>
      </c>
      <c r="K207" s="914">
        <v>1.7</v>
      </c>
      <c r="L207" s="914">
        <v>1.5</v>
      </c>
      <c r="M207" s="920" t="s">
        <v>1036</v>
      </c>
      <c r="N207" s="914">
        <v>1.9</v>
      </c>
      <c r="O207" s="920">
        <v>2.8</v>
      </c>
    </row>
    <row r="208" spans="1:15" ht="3" customHeight="1">
      <c r="B208" s="798"/>
      <c r="C208" s="798"/>
      <c r="E208" s="914"/>
      <c r="F208" s="914"/>
      <c r="G208" s="914"/>
      <c r="H208" s="914"/>
      <c r="I208" s="914"/>
      <c r="J208" s="914"/>
      <c r="K208" s="914"/>
      <c r="L208" s="914"/>
      <c r="M208" s="914"/>
      <c r="N208" s="914"/>
      <c r="O208" s="914"/>
    </row>
    <row r="209" spans="1:15" ht="11.1" customHeight="1">
      <c r="A209" s="912" t="s">
        <v>1241</v>
      </c>
      <c r="B209" s="928" t="s">
        <v>1242</v>
      </c>
      <c r="C209" s="928"/>
      <c r="E209" s="914">
        <v>4.0999999999999996</v>
      </c>
      <c r="F209" s="914">
        <v>6.6</v>
      </c>
      <c r="G209" s="914">
        <v>1.8</v>
      </c>
      <c r="H209" s="914">
        <v>4.5999999999999996</v>
      </c>
      <c r="I209" s="920" t="s">
        <v>1036</v>
      </c>
      <c r="J209" s="920" t="s">
        <v>1036</v>
      </c>
      <c r="K209" s="914">
        <v>3.4</v>
      </c>
      <c r="L209" s="914">
        <v>3.1</v>
      </c>
      <c r="M209" s="920" t="s">
        <v>1036</v>
      </c>
      <c r="N209" s="914">
        <v>10.5</v>
      </c>
      <c r="O209" s="920">
        <v>2.8</v>
      </c>
    </row>
    <row r="210" spans="1:15" ht="3.75" customHeight="1">
      <c r="A210" s="895"/>
      <c r="B210" s="953"/>
      <c r="C210" s="953"/>
      <c r="D210" s="795"/>
      <c r="E210" s="934"/>
      <c r="F210" s="934"/>
      <c r="G210" s="934"/>
      <c r="H210" s="934"/>
      <c r="I210" s="934"/>
      <c r="J210" s="934"/>
      <c r="K210" s="934"/>
      <c r="L210" s="934"/>
      <c r="M210" s="934"/>
      <c r="N210" s="934"/>
      <c r="O210" s="934"/>
    </row>
    <row r="211" spans="1:15" ht="4.5" customHeight="1">
      <c r="B211" s="928"/>
      <c r="C211" s="928"/>
      <c r="E211" s="914"/>
      <c r="F211" s="914"/>
      <c r="G211" s="914"/>
      <c r="H211" s="914"/>
      <c r="I211" s="914"/>
      <c r="J211" s="914"/>
      <c r="K211" s="914"/>
      <c r="L211" s="914"/>
      <c r="M211" s="914"/>
      <c r="N211" s="914"/>
      <c r="O211" s="914"/>
    </row>
    <row r="212" spans="1:15" ht="12.75" customHeight="1">
      <c r="A212" s="935" t="s">
        <v>1243</v>
      </c>
      <c r="B212" s="936" t="s">
        <v>69</v>
      </c>
      <c r="C212" s="936"/>
      <c r="D212" s="937"/>
      <c r="E212" s="938">
        <v>22.3</v>
      </c>
      <c r="F212" s="938">
        <v>59.3</v>
      </c>
      <c r="G212" s="938">
        <v>42.8</v>
      </c>
      <c r="H212" s="938">
        <v>89.3</v>
      </c>
      <c r="I212" s="938">
        <v>32.200000000000003</v>
      </c>
      <c r="J212" s="938">
        <v>47.7</v>
      </c>
      <c r="K212" s="938">
        <v>109</v>
      </c>
      <c r="L212" s="938">
        <v>107.3</v>
      </c>
      <c r="M212" s="938">
        <v>88.2</v>
      </c>
      <c r="N212" s="938">
        <v>125.7</v>
      </c>
      <c r="O212" s="938">
        <v>113.1</v>
      </c>
    </row>
    <row r="213" spans="1:15" ht="6" customHeight="1">
      <c r="B213" s="928"/>
      <c r="C213" s="928"/>
      <c r="I213" s="890"/>
      <c r="J213" s="890"/>
      <c r="K213" s="890"/>
      <c r="L213" s="890"/>
      <c r="M213" s="890"/>
      <c r="N213" s="890"/>
      <c r="O213" s="890"/>
    </row>
    <row r="214" spans="1:15" ht="11.1" customHeight="1">
      <c r="A214" s="912" t="s">
        <v>1244</v>
      </c>
      <c r="B214" s="913" t="s">
        <v>1245</v>
      </c>
      <c r="C214" s="913"/>
      <c r="D214" s="914"/>
      <c r="E214" s="914">
        <v>6.9</v>
      </c>
      <c r="F214" s="914">
        <v>24.5</v>
      </c>
      <c r="G214" s="914">
        <v>15</v>
      </c>
      <c r="H214" s="914">
        <v>36.799999999999997</v>
      </c>
      <c r="I214" s="914">
        <v>8.3000000000000007</v>
      </c>
      <c r="J214" s="914">
        <v>14.2</v>
      </c>
      <c r="K214" s="914">
        <v>46.4</v>
      </c>
      <c r="L214" s="914">
        <v>49.7</v>
      </c>
      <c r="M214" s="914">
        <v>31.7</v>
      </c>
      <c r="N214" s="914">
        <v>59.3</v>
      </c>
      <c r="O214" s="914">
        <v>48</v>
      </c>
    </row>
    <row r="215" spans="1:15" ht="11.1" customHeight="1">
      <c r="A215" s="917"/>
      <c r="B215" s="898" t="s">
        <v>1246</v>
      </c>
      <c r="C215" s="918" t="s">
        <v>1247</v>
      </c>
      <c r="D215" s="917"/>
      <c r="E215" s="919">
        <v>3</v>
      </c>
      <c r="F215" s="914">
        <v>10.9</v>
      </c>
      <c r="G215" s="914">
        <v>3.4</v>
      </c>
      <c r="H215" s="914">
        <v>12.8</v>
      </c>
      <c r="I215" s="844" t="s">
        <v>1036</v>
      </c>
      <c r="J215" s="844" t="s">
        <v>1036</v>
      </c>
      <c r="K215" s="914">
        <v>12.9</v>
      </c>
      <c r="L215" s="914">
        <v>14.4</v>
      </c>
      <c r="M215" s="919">
        <v>8.1999999999999993</v>
      </c>
      <c r="N215" s="914">
        <v>20.7</v>
      </c>
      <c r="O215" s="920" t="s">
        <v>1036</v>
      </c>
    </row>
    <row r="216" spans="1:15" ht="11.1" customHeight="1">
      <c r="A216" s="917"/>
      <c r="B216" s="898" t="s">
        <v>1248</v>
      </c>
      <c r="C216" s="918" t="s">
        <v>1249</v>
      </c>
      <c r="D216" s="917"/>
      <c r="E216" s="914">
        <v>3.9</v>
      </c>
      <c r="F216" s="914">
        <v>13.5</v>
      </c>
      <c r="G216" s="914">
        <v>11.1</v>
      </c>
      <c r="H216" s="914">
        <v>22.7</v>
      </c>
      <c r="I216" s="919">
        <v>7.5</v>
      </c>
      <c r="J216" s="919">
        <v>13.4</v>
      </c>
      <c r="K216" s="914">
        <v>32</v>
      </c>
      <c r="L216" s="914">
        <v>34.5</v>
      </c>
      <c r="M216" s="914">
        <v>22.2</v>
      </c>
      <c r="N216" s="914">
        <v>37.1</v>
      </c>
      <c r="O216" s="914">
        <v>35.799999999999997</v>
      </c>
    </row>
    <row r="217" spans="1:15" ht="11.1" customHeight="1">
      <c r="A217" s="917"/>
      <c r="B217" s="898" t="s">
        <v>1250</v>
      </c>
      <c r="C217" s="918" t="s">
        <v>1251</v>
      </c>
      <c r="D217" s="917"/>
      <c r="E217" s="844" t="s">
        <v>1035</v>
      </c>
      <c r="F217" s="844" t="s">
        <v>1036</v>
      </c>
      <c r="G217" s="844" t="s">
        <v>1036</v>
      </c>
      <c r="H217" s="919">
        <v>1.4</v>
      </c>
      <c r="I217" s="844" t="s">
        <v>1035</v>
      </c>
      <c r="J217" s="844" t="s">
        <v>1036</v>
      </c>
      <c r="K217" s="919">
        <v>1.4</v>
      </c>
      <c r="L217" s="919">
        <v>0.8</v>
      </c>
      <c r="M217" s="844" t="s">
        <v>1036</v>
      </c>
      <c r="N217" s="844" t="s">
        <v>1036</v>
      </c>
      <c r="O217" s="844" t="s">
        <v>1036</v>
      </c>
    </row>
    <row r="218" spans="1:15" ht="3" customHeight="1">
      <c r="B218" s="913"/>
      <c r="C218" s="914"/>
      <c r="D218" s="914"/>
      <c r="E218" s="914"/>
      <c r="F218" s="914"/>
      <c r="G218" s="914"/>
      <c r="H218" s="914"/>
      <c r="I218" s="914"/>
      <c r="J218" s="914"/>
      <c r="K218" s="914"/>
      <c r="L218" s="914"/>
      <c r="M218" s="914"/>
      <c r="N218" s="914"/>
      <c r="O218" s="914"/>
    </row>
    <row r="219" spans="1:15" ht="11.1" customHeight="1">
      <c r="A219" s="941" t="s">
        <v>1252</v>
      </c>
      <c r="B219" s="946" t="s">
        <v>1253</v>
      </c>
      <c r="C219" s="943"/>
      <c r="D219" s="943"/>
      <c r="E219" s="943">
        <v>12.4</v>
      </c>
      <c r="F219" s="943">
        <v>28.1</v>
      </c>
      <c r="G219" s="943">
        <v>17.8</v>
      </c>
      <c r="H219" s="943">
        <v>35.9</v>
      </c>
      <c r="I219" s="943">
        <v>15.5</v>
      </c>
      <c r="J219" s="943">
        <v>21.1</v>
      </c>
      <c r="K219" s="943">
        <v>42.7</v>
      </c>
      <c r="L219" s="943">
        <v>40.1</v>
      </c>
      <c r="M219" s="943">
        <v>40</v>
      </c>
      <c r="N219" s="943">
        <v>49.1</v>
      </c>
      <c r="O219" s="943">
        <v>45.7</v>
      </c>
    </row>
    <row r="220" spans="1:15" ht="11.1" customHeight="1">
      <c r="A220" s="801"/>
      <c r="B220" s="898" t="s">
        <v>1254</v>
      </c>
      <c r="C220" s="801" t="s">
        <v>1255</v>
      </c>
      <c r="D220" s="801"/>
      <c r="E220" s="919">
        <v>0.8</v>
      </c>
      <c r="F220" s="914">
        <v>2.8</v>
      </c>
      <c r="G220" s="914">
        <v>1.7</v>
      </c>
      <c r="H220" s="914">
        <v>4</v>
      </c>
      <c r="I220" s="844" t="s">
        <v>1036</v>
      </c>
      <c r="J220" s="844" t="s">
        <v>1036</v>
      </c>
      <c r="K220" s="914">
        <v>4.5999999999999996</v>
      </c>
      <c r="L220" s="914">
        <v>2.5</v>
      </c>
      <c r="M220" s="919">
        <v>4.4000000000000004</v>
      </c>
      <c r="N220" s="914">
        <v>3.4</v>
      </c>
      <c r="O220" s="914">
        <v>3.8</v>
      </c>
    </row>
    <row r="221" spans="1:15" ht="11.1" customHeight="1">
      <c r="A221" s="801"/>
      <c r="B221" s="898" t="s">
        <v>1256</v>
      </c>
      <c r="C221" s="916" t="s">
        <v>1257</v>
      </c>
      <c r="D221" s="801"/>
      <c r="E221" s="914">
        <v>6.5</v>
      </c>
      <c r="F221" s="914">
        <v>16.100000000000001</v>
      </c>
      <c r="G221" s="914">
        <v>10.199999999999999</v>
      </c>
      <c r="H221" s="914">
        <v>21.8</v>
      </c>
      <c r="I221" s="914">
        <v>7.2</v>
      </c>
      <c r="J221" s="914">
        <v>12.4</v>
      </c>
      <c r="K221" s="914">
        <v>25.7</v>
      </c>
      <c r="L221" s="914">
        <v>26</v>
      </c>
      <c r="M221" s="914">
        <v>28.1</v>
      </c>
      <c r="N221" s="914">
        <v>32.5</v>
      </c>
      <c r="O221" s="914">
        <v>30.8</v>
      </c>
    </row>
    <row r="222" spans="1:15" ht="11.1" customHeight="1">
      <c r="A222" s="917"/>
      <c r="B222" s="898" t="s">
        <v>1258</v>
      </c>
      <c r="C222" s="918" t="s">
        <v>1259</v>
      </c>
      <c r="D222" s="917"/>
      <c r="E222" s="914">
        <v>3.9</v>
      </c>
      <c r="F222" s="914">
        <v>7.1</v>
      </c>
      <c r="G222" s="914">
        <v>4.7</v>
      </c>
      <c r="H222" s="914">
        <v>8.1999999999999993</v>
      </c>
      <c r="I222" s="914">
        <v>5.3</v>
      </c>
      <c r="J222" s="914">
        <v>5.0999999999999996</v>
      </c>
      <c r="K222" s="914">
        <v>9.6</v>
      </c>
      <c r="L222" s="914">
        <v>8.4</v>
      </c>
      <c r="M222" s="914">
        <v>6.3</v>
      </c>
      <c r="N222" s="914">
        <v>10.6</v>
      </c>
      <c r="O222" s="914">
        <v>8.5</v>
      </c>
    </row>
    <row r="223" spans="1:15" ht="11.1" customHeight="1">
      <c r="A223" s="954"/>
      <c r="B223" s="898" t="s">
        <v>1260</v>
      </c>
      <c r="C223" s="922" t="s">
        <v>1261</v>
      </c>
      <c r="D223" s="954"/>
      <c r="E223" s="914">
        <v>1.1000000000000001</v>
      </c>
      <c r="F223" s="914">
        <v>2</v>
      </c>
      <c r="G223" s="914">
        <v>1.2</v>
      </c>
      <c r="H223" s="914">
        <v>1.9</v>
      </c>
      <c r="I223" s="914">
        <v>1.2</v>
      </c>
      <c r="J223" s="914">
        <v>3</v>
      </c>
      <c r="K223" s="914">
        <v>2.7</v>
      </c>
      <c r="L223" s="914">
        <v>3.1</v>
      </c>
      <c r="M223" s="914">
        <v>1.2</v>
      </c>
      <c r="N223" s="914">
        <v>2.6</v>
      </c>
      <c r="O223" s="914">
        <v>2.7</v>
      </c>
    </row>
    <row r="224" spans="1:15" ht="3" customHeight="1">
      <c r="C224" s="798"/>
      <c r="E224" s="914"/>
      <c r="F224" s="914"/>
      <c r="G224" s="914"/>
      <c r="H224" s="914"/>
      <c r="I224" s="914"/>
      <c r="J224" s="914"/>
      <c r="K224" s="914"/>
      <c r="L224" s="914"/>
      <c r="M224" s="914"/>
      <c r="N224" s="914"/>
      <c r="O224" s="914"/>
    </row>
    <row r="225" spans="1:15" ht="11.1" customHeight="1">
      <c r="A225" s="912" t="s">
        <v>1262</v>
      </c>
      <c r="B225" s="913" t="s">
        <v>1263</v>
      </c>
      <c r="C225" s="914"/>
      <c r="D225" s="914"/>
      <c r="E225" s="914">
        <v>3</v>
      </c>
      <c r="F225" s="914">
        <v>6.7</v>
      </c>
      <c r="G225" s="914">
        <v>10.1</v>
      </c>
      <c r="H225" s="914">
        <v>16.5</v>
      </c>
      <c r="I225" s="914">
        <v>8.4</v>
      </c>
      <c r="J225" s="914">
        <v>12.4</v>
      </c>
      <c r="K225" s="914">
        <v>19.899999999999999</v>
      </c>
      <c r="L225" s="914">
        <v>17.5</v>
      </c>
      <c r="M225" s="914">
        <v>16.5</v>
      </c>
      <c r="N225" s="914">
        <v>17.3</v>
      </c>
      <c r="O225" s="914">
        <v>19.399999999999999</v>
      </c>
    </row>
    <row r="226" spans="1:15" ht="11.1" customHeight="1">
      <c r="A226" s="917"/>
      <c r="B226" s="898" t="s">
        <v>1264</v>
      </c>
      <c r="C226" s="918" t="s">
        <v>1265</v>
      </c>
      <c r="D226" s="917"/>
      <c r="E226" s="844">
        <v>0.3</v>
      </c>
      <c r="F226" s="914">
        <v>0.9</v>
      </c>
      <c r="G226" s="914">
        <v>1.1000000000000001</v>
      </c>
      <c r="H226" s="914">
        <v>2.5</v>
      </c>
      <c r="I226" s="919">
        <v>2.1</v>
      </c>
      <c r="J226" s="844" t="s">
        <v>1036</v>
      </c>
      <c r="K226" s="914">
        <v>1.7</v>
      </c>
      <c r="L226" s="914">
        <v>2.7</v>
      </c>
      <c r="M226" s="919">
        <v>0.5</v>
      </c>
      <c r="N226" s="914">
        <v>2.9</v>
      </c>
      <c r="O226" s="919">
        <v>1.8</v>
      </c>
    </row>
    <row r="227" spans="1:15" ht="11.1" customHeight="1">
      <c r="A227" s="917"/>
      <c r="B227" s="898" t="s">
        <v>1266</v>
      </c>
      <c r="C227" s="918" t="s">
        <v>1267</v>
      </c>
      <c r="D227" s="917"/>
      <c r="E227" s="844" t="s">
        <v>1036</v>
      </c>
      <c r="F227" s="844">
        <v>0.2</v>
      </c>
      <c r="G227" s="914">
        <v>0.7</v>
      </c>
      <c r="H227" s="914">
        <v>0.7</v>
      </c>
      <c r="I227" s="914">
        <v>1.6</v>
      </c>
      <c r="J227" s="919">
        <v>1.3</v>
      </c>
      <c r="K227" s="914">
        <v>0.8</v>
      </c>
      <c r="L227" s="914">
        <v>1.1000000000000001</v>
      </c>
      <c r="M227" s="844">
        <v>1.5</v>
      </c>
      <c r="N227" s="914">
        <v>1.3</v>
      </c>
      <c r="O227" s="919">
        <v>2.1</v>
      </c>
    </row>
    <row r="228" spans="1:15" ht="11.1" customHeight="1">
      <c r="A228" s="917"/>
      <c r="B228" s="898" t="s">
        <v>1268</v>
      </c>
      <c r="C228" s="918" t="s">
        <v>159</v>
      </c>
      <c r="D228" s="917"/>
      <c r="E228" s="844" t="s">
        <v>1035</v>
      </c>
      <c r="F228" s="844" t="s">
        <v>1035</v>
      </c>
      <c r="G228" s="844" t="s">
        <v>1036</v>
      </c>
      <c r="H228" s="844" t="s">
        <v>1036</v>
      </c>
      <c r="I228" s="844" t="s">
        <v>1035</v>
      </c>
      <c r="J228" s="844" t="s">
        <v>1035</v>
      </c>
      <c r="K228" s="844" t="s">
        <v>1035</v>
      </c>
      <c r="L228" s="844" t="s">
        <v>1036</v>
      </c>
      <c r="M228" s="844" t="s">
        <v>1036</v>
      </c>
      <c r="N228" s="844" t="s">
        <v>1036</v>
      </c>
      <c r="O228" s="844" t="s">
        <v>1036</v>
      </c>
    </row>
    <row r="229" spans="1:15" ht="11.1" customHeight="1">
      <c r="A229" s="917"/>
      <c r="B229" s="898" t="s">
        <v>1269</v>
      </c>
      <c r="C229" s="918" t="s">
        <v>1270</v>
      </c>
      <c r="D229" s="917"/>
      <c r="E229" s="914">
        <v>2.5</v>
      </c>
      <c r="F229" s="914">
        <v>5.5</v>
      </c>
      <c r="G229" s="914">
        <v>8.3000000000000007</v>
      </c>
      <c r="H229" s="914">
        <v>13.2</v>
      </c>
      <c r="I229" s="914">
        <v>4.7</v>
      </c>
      <c r="J229" s="914">
        <v>9.6999999999999993</v>
      </c>
      <c r="K229" s="914">
        <v>17.3</v>
      </c>
      <c r="L229" s="914">
        <v>13.6</v>
      </c>
      <c r="M229" s="914">
        <v>14.1</v>
      </c>
      <c r="N229" s="914">
        <v>13</v>
      </c>
      <c r="O229" s="914">
        <v>15.5</v>
      </c>
    </row>
    <row r="230" spans="1:15" ht="28.95" customHeight="1">
      <c r="A230" s="925"/>
      <c r="B230" s="987"/>
      <c r="C230" s="988"/>
      <c r="D230" s="989"/>
      <c r="E230" s="986">
        <f>SUM(E219/E212)</f>
        <v>0.55605381165919288</v>
      </c>
      <c r="F230" s="986">
        <f t="shared" ref="F230:O230" si="1">SUM(F219/F212)</f>
        <v>0.4738617200674537</v>
      </c>
      <c r="G230" s="986">
        <f t="shared" si="1"/>
        <v>0.41588785046728977</v>
      </c>
      <c r="H230" s="986">
        <f t="shared" si="1"/>
        <v>0.40201567749160133</v>
      </c>
      <c r="I230" s="986">
        <f t="shared" si="1"/>
        <v>0.48136645962732916</v>
      </c>
      <c r="J230" s="986">
        <f t="shared" si="1"/>
        <v>0.44234800838574423</v>
      </c>
      <c r="K230" s="986">
        <f t="shared" si="1"/>
        <v>0.3917431192660551</v>
      </c>
      <c r="L230" s="986">
        <f t="shared" si="1"/>
        <v>0.37371854613233924</v>
      </c>
      <c r="M230" s="986">
        <f t="shared" si="1"/>
        <v>0.45351473922902491</v>
      </c>
      <c r="N230" s="986">
        <f t="shared" si="1"/>
        <v>0.39061256961018298</v>
      </c>
      <c r="O230" s="986">
        <f t="shared" si="1"/>
        <v>0.40406719717064549</v>
      </c>
    </row>
    <row r="231" spans="1:15" ht="4.5" customHeight="1">
      <c r="B231" s="928"/>
      <c r="C231" s="928"/>
      <c r="E231" s="914"/>
      <c r="F231" s="914"/>
      <c r="G231" s="914"/>
      <c r="H231" s="914"/>
      <c r="I231" s="914"/>
      <c r="J231" s="914"/>
      <c r="K231" s="914"/>
      <c r="L231" s="914"/>
      <c r="M231" s="914"/>
      <c r="N231" s="914"/>
      <c r="O231" s="914"/>
    </row>
    <row r="232" spans="1:15" ht="12.75" customHeight="1">
      <c r="A232" s="910" t="s">
        <v>1271</v>
      </c>
      <c r="B232" s="861" t="s">
        <v>84</v>
      </c>
      <c r="C232" s="861"/>
      <c r="D232" s="862"/>
      <c r="E232" s="911">
        <v>12.3</v>
      </c>
      <c r="F232" s="911">
        <v>19.600000000000001</v>
      </c>
      <c r="G232" s="911">
        <v>14.7</v>
      </c>
      <c r="H232" s="911">
        <v>22.4</v>
      </c>
      <c r="I232" s="911">
        <v>16.2</v>
      </c>
      <c r="J232" s="911">
        <v>18.7</v>
      </c>
      <c r="K232" s="911">
        <v>25.6</v>
      </c>
      <c r="L232" s="911">
        <v>26.3</v>
      </c>
      <c r="M232" s="911">
        <v>31.6</v>
      </c>
      <c r="N232" s="911">
        <v>30.8</v>
      </c>
      <c r="O232" s="911">
        <v>31.5</v>
      </c>
    </row>
    <row r="233" spans="1:15" ht="3" customHeight="1">
      <c r="B233" s="913"/>
      <c r="C233" s="913"/>
      <c r="D233" s="914"/>
      <c r="E233" s="881"/>
      <c r="F233" s="881"/>
      <c r="G233" s="881"/>
      <c r="H233" s="881"/>
      <c r="I233" s="881"/>
      <c r="J233" s="881"/>
      <c r="K233" s="881"/>
      <c r="L233" s="881"/>
      <c r="M233" s="881"/>
      <c r="N233" s="881"/>
      <c r="O233" s="881"/>
    </row>
    <row r="234" spans="1:15" ht="11.1" customHeight="1">
      <c r="A234" s="912" t="s">
        <v>1272</v>
      </c>
      <c r="B234" s="798" t="s">
        <v>1273</v>
      </c>
      <c r="C234" s="798"/>
      <c r="E234" s="914">
        <v>0.7</v>
      </c>
      <c r="F234" s="914">
        <v>1.3</v>
      </c>
      <c r="G234" s="914">
        <v>0.5</v>
      </c>
      <c r="H234" s="914">
        <v>0.7</v>
      </c>
      <c r="I234" s="919">
        <v>0.2</v>
      </c>
      <c r="J234" s="919">
        <v>0.5</v>
      </c>
      <c r="K234" s="914">
        <v>0.9</v>
      </c>
      <c r="L234" s="914">
        <v>0.7</v>
      </c>
      <c r="M234" s="914">
        <v>0.4</v>
      </c>
      <c r="N234" s="914">
        <v>0.8</v>
      </c>
      <c r="O234" s="914">
        <v>0.7</v>
      </c>
    </row>
    <row r="235" spans="1:15" ht="11.1" customHeight="1">
      <c r="A235" s="912" t="s">
        <v>1274</v>
      </c>
      <c r="B235" s="913" t="s">
        <v>1275</v>
      </c>
      <c r="C235" s="913"/>
      <c r="D235" s="914"/>
      <c r="E235" s="919">
        <v>0.3</v>
      </c>
      <c r="F235" s="914">
        <v>1.1000000000000001</v>
      </c>
      <c r="G235" s="914">
        <v>0.4</v>
      </c>
      <c r="H235" s="914">
        <v>1.5</v>
      </c>
      <c r="I235" s="844" t="s">
        <v>1036</v>
      </c>
      <c r="J235" s="844" t="s">
        <v>1036</v>
      </c>
      <c r="K235" s="914">
        <v>1.1000000000000001</v>
      </c>
      <c r="L235" s="914">
        <v>2</v>
      </c>
      <c r="M235" s="919">
        <v>5</v>
      </c>
      <c r="N235" s="919">
        <v>0.8</v>
      </c>
      <c r="O235" s="919">
        <v>0.5</v>
      </c>
    </row>
    <row r="236" spans="1:15" ht="11.1" customHeight="1">
      <c r="A236" s="912" t="s">
        <v>1276</v>
      </c>
      <c r="B236" s="807" t="s">
        <v>1277</v>
      </c>
      <c r="E236" s="914">
        <v>3.1</v>
      </c>
      <c r="F236" s="914">
        <v>4.7</v>
      </c>
      <c r="G236" s="914">
        <v>4.8</v>
      </c>
      <c r="H236" s="914">
        <v>9.3000000000000007</v>
      </c>
      <c r="I236" s="914">
        <v>7.1</v>
      </c>
      <c r="J236" s="914">
        <v>8.5</v>
      </c>
      <c r="K236" s="914">
        <v>12.1</v>
      </c>
      <c r="L236" s="914">
        <v>12.4</v>
      </c>
      <c r="M236" s="914">
        <v>13.8</v>
      </c>
      <c r="N236" s="914">
        <v>15.3</v>
      </c>
      <c r="O236" s="914">
        <v>17.100000000000001</v>
      </c>
    </row>
    <row r="237" spans="1:15" ht="11.1" customHeight="1">
      <c r="A237" s="912" t="s">
        <v>1278</v>
      </c>
      <c r="B237" s="807" t="s">
        <v>1279</v>
      </c>
      <c r="E237" s="914">
        <v>0.2</v>
      </c>
      <c r="F237" s="914">
        <v>0.3</v>
      </c>
      <c r="G237" s="914">
        <v>1</v>
      </c>
      <c r="H237" s="914">
        <v>1.2</v>
      </c>
      <c r="I237" s="919">
        <v>0.9</v>
      </c>
      <c r="J237" s="914">
        <v>1.9</v>
      </c>
      <c r="K237" s="914">
        <v>1.2</v>
      </c>
      <c r="L237" s="914">
        <v>1</v>
      </c>
      <c r="M237" s="919">
        <v>1</v>
      </c>
      <c r="N237" s="914">
        <v>0.8</v>
      </c>
      <c r="O237" s="919">
        <v>0.7</v>
      </c>
    </row>
    <row r="238" spans="1:15" ht="11.1" customHeight="1">
      <c r="A238" s="912">
        <v>8.5</v>
      </c>
      <c r="B238" s="807" t="s">
        <v>1280</v>
      </c>
      <c r="E238" s="914">
        <v>7.9</v>
      </c>
      <c r="F238" s="914">
        <v>12.1</v>
      </c>
      <c r="G238" s="914">
        <v>8</v>
      </c>
      <c r="H238" s="914">
        <v>9.6999999999999993</v>
      </c>
      <c r="I238" s="914">
        <v>7.5</v>
      </c>
      <c r="J238" s="914">
        <v>7.1</v>
      </c>
      <c r="K238" s="914">
        <v>10.4</v>
      </c>
      <c r="L238" s="914">
        <v>10.1</v>
      </c>
      <c r="M238" s="914">
        <v>11.4</v>
      </c>
      <c r="N238" s="914">
        <v>13.1</v>
      </c>
      <c r="O238" s="914">
        <v>12.5</v>
      </c>
    </row>
    <row r="239" spans="1:15" ht="3" customHeight="1">
      <c r="A239" s="895"/>
      <c r="B239" s="933"/>
      <c r="C239" s="933"/>
      <c r="D239" s="934"/>
      <c r="E239" s="934"/>
      <c r="F239" s="934"/>
      <c r="G239" s="934"/>
      <c r="H239" s="934"/>
      <c r="I239" s="934"/>
      <c r="J239" s="934"/>
      <c r="K239" s="934"/>
      <c r="L239" s="934"/>
      <c r="M239" s="934"/>
      <c r="N239" s="934"/>
      <c r="O239" s="934"/>
    </row>
    <row r="240" spans="1:15" ht="3" customHeight="1">
      <c r="B240" s="913"/>
      <c r="C240" s="913"/>
      <c r="D240" s="914"/>
      <c r="E240" s="914"/>
      <c r="F240" s="914"/>
      <c r="G240" s="914"/>
      <c r="H240" s="914"/>
      <c r="I240" s="914"/>
      <c r="J240" s="914"/>
      <c r="K240" s="914"/>
      <c r="L240" s="914"/>
      <c r="M240" s="914"/>
    </row>
    <row r="241" spans="1:15" ht="11.1" customHeight="1">
      <c r="A241" s="850" t="s">
        <v>1047</v>
      </c>
      <c r="B241" s="913"/>
      <c r="C241" s="913"/>
      <c r="D241" s="914"/>
      <c r="E241" s="914"/>
      <c r="F241" s="914"/>
      <c r="G241" s="914"/>
      <c r="H241" s="914"/>
      <c r="I241" s="914"/>
      <c r="J241" s="914"/>
      <c r="K241" s="914"/>
      <c r="L241" s="914"/>
      <c r="M241" s="914"/>
    </row>
    <row r="242" spans="1:15" ht="11.1" customHeight="1">
      <c r="A242" s="850" t="s">
        <v>1137</v>
      </c>
      <c r="B242" s="913"/>
      <c r="C242" s="913"/>
      <c r="D242" s="914"/>
      <c r="E242" s="914"/>
      <c r="F242" s="914"/>
      <c r="G242" s="914"/>
      <c r="H242" s="914"/>
      <c r="I242" s="914"/>
      <c r="J242" s="914"/>
      <c r="K242" s="914"/>
      <c r="L242" s="914"/>
      <c r="M242" s="914"/>
    </row>
    <row r="243" spans="1:15" ht="11.1" customHeight="1">
      <c r="A243" s="845" t="s">
        <v>1048</v>
      </c>
      <c r="B243" s="913"/>
      <c r="C243" s="913"/>
      <c r="D243" s="914"/>
      <c r="E243" s="914"/>
      <c r="F243" s="914"/>
      <c r="G243" s="914"/>
      <c r="H243" s="914"/>
      <c r="I243" s="914"/>
      <c r="J243" s="914"/>
      <c r="K243" s="914"/>
      <c r="L243" s="914"/>
      <c r="M243" s="914"/>
    </row>
    <row r="244" spans="1:15" ht="11.1" customHeight="1">
      <c r="A244" s="850" t="s">
        <v>1281</v>
      </c>
      <c r="B244" s="913"/>
      <c r="C244" s="913"/>
      <c r="D244" s="914"/>
      <c r="E244" s="914"/>
      <c r="F244" s="914"/>
      <c r="G244" s="914"/>
      <c r="H244" s="914"/>
    </row>
    <row r="245" spans="1:15" ht="11.1" customHeight="1">
      <c r="A245" s="850" t="s">
        <v>1282</v>
      </c>
      <c r="B245" s="913"/>
      <c r="C245" s="913"/>
      <c r="D245" s="914"/>
      <c r="E245" s="914"/>
      <c r="F245" s="914"/>
      <c r="G245" s="914"/>
      <c r="H245" s="914"/>
    </row>
    <row r="246" spans="1:15" ht="11.1" customHeight="1">
      <c r="A246" s="850"/>
      <c r="B246" s="913"/>
      <c r="C246" s="913"/>
      <c r="D246" s="914"/>
      <c r="E246" s="914"/>
      <c r="F246" s="914"/>
      <c r="G246" s="914"/>
      <c r="H246" s="914"/>
    </row>
    <row r="250" spans="1:15" ht="15.75" customHeight="1">
      <c r="A250" s="782" t="s">
        <v>919</v>
      </c>
      <c r="B250" s="782"/>
    </row>
    <row r="251" spans="1:15" ht="15.75" customHeight="1">
      <c r="A251" s="782" t="s">
        <v>1052</v>
      </c>
      <c r="B251" s="891"/>
      <c r="C251" s="784"/>
      <c r="D251" s="789"/>
      <c r="E251" s="789"/>
      <c r="F251" s="892"/>
      <c r="G251" s="892"/>
      <c r="H251" s="893"/>
    </row>
    <row r="252" spans="1:15" ht="15.75" customHeight="1">
      <c r="A252" s="792" t="s">
        <v>1448</v>
      </c>
      <c r="B252" s="894"/>
      <c r="C252" s="870"/>
      <c r="D252" s="793"/>
      <c r="E252" s="789"/>
      <c r="F252" s="892"/>
      <c r="G252" s="892"/>
      <c r="H252" s="893"/>
    </row>
    <row r="253" spans="1:15" ht="3.75" customHeight="1">
      <c r="A253" s="895"/>
      <c r="B253" s="794"/>
      <c r="C253" s="794"/>
      <c r="D253" s="795"/>
      <c r="E253" s="896"/>
      <c r="F253" s="896"/>
      <c r="G253" s="896"/>
      <c r="H253" s="896"/>
      <c r="I253" s="896"/>
      <c r="J253" s="896"/>
      <c r="K253" s="896"/>
      <c r="L253" s="896"/>
      <c r="M253" s="896"/>
    </row>
    <row r="254" spans="1:15" ht="3.75" customHeight="1">
      <c r="A254" s="958"/>
      <c r="B254" s="800"/>
      <c r="C254" s="800"/>
      <c r="D254" s="801"/>
      <c r="E254" s="899"/>
      <c r="F254" s="899"/>
      <c r="G254" s="899"/>
      <c r="H254" s="899"/>
      <c r="I254" s="801"/>
      <c r="J254" s="899"/>
      <c r="K254" s="801"/>
      <c r="L254" s="899"/>
      <c r="M254" s="801"/>
      <c r="N254" s="900"/>
      <c r="O254" s="900"/>
    </row>
    <row r="255" spans="1:15" ht="12" customHeight="1">
      <c r="A255" s="905"/>
      <c r="B255" s="901"/>
      <c r="C255" s="901"/>
      <c r="D255" s="901"/>
      <c r="E255" s="805" t="s">
        <v>912</v>
      </c>
      <c r="F255" s="805"/>
      <c r="G255" s="805" t="s">
        <v>146</v>
      </c>
      <c r="H255" s="806"/>
      <c r="I255" s="805" t="s">
        <v>913</v>
      </c>
      <c r="J255" s="805"/>
      <c r="K255" s="805"/>
      <c r="L255" s="805"/>
      <c r="M255" s="805"/>
      <c r="N255" s="805"/>
      <c r="O255" s="805"/>
    </row>
    <row r="256" spans="1:15" ht="12" customHeight="1">
      <c r="A256" s="905"/>
      <c r="B256" s="901"/>
      <c r="C256" s="901"/>
      <c r="D256" s="901"/>
      <c r="E256" s="805"/>
      <c r="F256" s="806"/>
      <c r="G256" s="817" t="s">
        <v>929</v>
      </c>
      <c r="H256" s="813" t="s">
        <v>931</v>
      </c>
      <c r="I256" s="805" t="s">
        <v>922</v>
      </c>
      <c r="J256" s="902"/>
      <c r="K256" s="805" t="s">
        <v>923</v>
      </c>
      <c r="L256" s="902"/>
      <c r="M256" s="806"/>
      <c r="N256" s="903" t="s">
        <v>924</v>
      </c>
      <c r="O256" s="806"/>
    </row>
    <row r="257" spans="1:15" ht="12" customHeight="1">
      <c r="A257" s="905"/>
      <c r="B257" s="901"/>
      <c r="C257" s="901"/>
      <c r="D257" s="901"/>
      <c r="E257" s="817" t="s">
        <v>929</v>
      </c>
      <c r="F257" s="817" t="s">
        <v>930</v>
      </c>
      <c r="G257" s="813" t="s">
        <v>935</v>
      </c>
      <c r="H257" s="813" t="s">
        <v>936</v>
      </c>
      <c r="I257" s="817" t="s">
        <v>932</v>
      </c>
      <c r="J257" s="820" t="s">
        <v>932</v>
      </c>
      <c r="K257" s="813" t="s">
        <v>932</v>
      </c>
      <c r="L257" s="820" t="s">
        <v>932</v>
      </c>
      <c r="M257" s="820" t="s">
        <v>932</v>
      </c>
      <c r="N257" s="820" t="s">
        <v>933</v>
      </c>
      <c r="O257" s="820" t="s">
        <v>932</v>
      </c>
    </row>
    <row r="258" spans="1:15" ht="12" customHeight="1">
      <c r="A258" s="905"/>
      <c r="B258" s="901"/>
      <c r="C258" s="901"/>
      <c r="D258" s="901"/>
      <c r="E258" s="813" t="s">
        <v>935</v>
      </c>
      <c r="F258" s="817" t="s">
        <v>936</v>
      </c>
      <c r="G258" s="813" t="s">
        <v>26</v>
      </c>
      <c r="H258" s="813"/>
      <c r="I258" s="817" t="s">
        <v>937</v>
      </c>
      <c r="J258" s="817" t="s">
        <v>938</v>
      </c>
      <c r="K258" s="817" t="s">
        <v>937</v>
      </c>
      <c r="L258" s="817" t="s">
        <v>938</v>
      </c>
      <c r="M258" s="817" t="s">
        <v>939</v>
      </c>
      <c r="N258" s="817" t="s">
        <v>940</v>
      </c>
      <c r="O258" s="817" t="s">
        <v>940</v>
      </c>
    </row>
    <row r="259" spans="1:15" ht="12" customHeight="1">
      <c r="A259" s="905"/>
      <c r="B259" s="901"/>
      <c r="C259" s="901"/>
      <c r="D259" s="901"/>
      <c r="E259" s="793"/>
      <c r="F259" s="817"/>
      <c r="G259" s="793"/>
      <c r="H259" s="793"/>
      <c r="I259" s="817" t="s">
        <v>941</v>
      </c>
      <c r="J259" s="817" t="s">
        <v>942</v>
      </c>
      <c r="K259" s="817" t="s">
        <v>941</v>
      </c>
      <c r="L259" s="817" t="s">
        <v>940</v>
      </c>
      <c r="M259" s="817" t="s">
        <v>942</v>
      </c>
      <c r="N259" s="813"/>
      <c r="O259" s="813"/>
    </row>
    <row r="260" spans="1:15" ht="12" customHeight="1">
      <c r="A260" s="905"/>
      <c r="B260" s="901"/>
      <c r="C260" s="901"/>
      <c r="D260" s="901"/>
      <c r="E260" s="822"/>
      <c r="F260" s="822"/>
      <c r="G260" s="822"/>
      <c r="H260" s="822"/>
      <c r="I260" s="793"/>
      <c r="J260" s="817" t="s">
        <v>940</v>
      </c>
      <c r="K260" s="793"/>
      <c r="L260" s="793"/>
      <c r="M260" s="817" t="s">
        <v>940</v>
      </c>
      <c r="N260" s="793"/>
      <c r="O260" s="793"/>
    </row>
    <row r="261" spans="1:15" ht="3.75" customHeight="1">
      <c r="A261" s="929"/>
      <c r="B261" s="794"/>
      <c r="C261" s="794"/>
      <c r="D261" s="959"/>
      <c r="E261" s="796"/>
      <c r="F261" s="796"/>
      <c r="G261" s="796"/>
      <c r="H261" s="796"/>
      <c r="I261" s="796"/>
      <c r="J261" s="795"/>
      <c r="K261" s="795"/>
      <c r="L261" s="796"/>
      <c r="M261" s="796"/>
      <c r="N261" s="796"/>
      <c r="O261" s="796"/>
    </row>
    <row r="262" spans="1:15" ht="3.75" customHeight="1">
      <c r="A262" s="960"/>
      <c r="B262" s="961"/>
      <c r="C262" s="961"/>
      <c r="D262" s="908"/>
      <c r="E262" s="962"/>
      <c r="F262" s="962"/>
      <c r="G262" s="962"/>
      <c r="H262" s="962"/>
      <c r="I262" s="962"/>
      <c r="J262" s="962"/>
      <c r="K262" s="962"/>
      <c r="L262" s="962"/>
      <c r="M262" s="962"/>
    </row>
    <row r="263" spans="1:15" ht="12" customHeight="1">
      <c r="A263" s="909" t="s">
        <v>1030</v>
      </c>
      <c r="B263" s="834"/>
      <c r="C263" s="834"/>
      <c r="D263" s="835"/>
      <c r="E263" s="1335" t="s">
        <v>1031</v>
      </c>
      <c r="F263" s="1335"/>
      <c r="G263" s="1335"/>
      <c r="H263" s="1335"/>
      <c r="I263" s="1335"/>
      <c r="J263" s="1335"/>
      <c r="K263" s="1335"/>
      <c r="L263" s="1335"/>
      <c r="M263" s="1335"/>
    </row>
    <row r="264" spans="1:15" ht="3.75" customHeight="1">
      <c r="A264" s="895"/>
      <c r="B264" s="795"/>
      <c r="C264" s="795"/>
      <c r="D264" s="795"/>
      <c r="E264" s="896"/>
      <c r="F264" s="896"/>
      <c r="G264" s="896"/>
      <c r="H264" s="896"/>
      <c r="I264" s="896"/>
      <c r="J264" s="896"/>
      <c r="K264" s="896"/>
      <c r="L264" s="896"/>
      <c r="M264" s="896"/>
      <c r="N264" s="795"/>
      <c r="O264" s="795"/>
    </row>
    <row r="265" spans="1:15" ht="3.75" customHeight="1">
      <c r="A265" s="963"/>
      <c r="B265" s="842"/>
      <c r="C265" s="842"/>
      <c r="D265" s="846"/>
      <c r="E265" s="846"/>
      <c r="F265" s="846"/>
      <c r="G265" s="846"/>
      <c r="H265" s="846"/>
      <c r="I265" s="846"/>
      <c r="J265" s="846"/>
      <c r="K265" s="846"/>
      <c r="L265" s="846"/>
      <c r="M265" s="846"/>
    </row>
    <row r="266" spans="1:15" ht="12.75" customHeight="1">
      <c r="A266" s="910" t="s">
        <v>1283</v>
      </c>
      <c r="B266" s="964" t="s">
        <v>1284</v>
      </c>
      <c r="C266" s="964"/>
      <c r="D266" s="965"/>
      <c r="E266" s="911">
        <v>24.7</v>
      </c>
      <c r="F266" s="911">
        <v>62</v>
      </c>
      <c r="G266" s="911">
        <v>35.200000000000003</v>
      </c>
      <c r="H266" s="911">
        <v>64.5</v>
      </c>
      <c r="I266" s="911">
        <v>37.200000000000003</v>
      </c>
      <c r="J266" s="911">
        <v>36.299999999999997</v>
      </c>
      <c r="K266" s="911">
        <v>67</v>
      </c>
      <c r="L266" s="911">
        <v>81.099999999999994</v>
      </c>
      <c r="M266" s="911">
        <v>83.8</v>
      </c>
      <c r="N266" s="911">
        <v>70</v>
      </c>
      <c r="O266" s="911">
        <v>68.599999999999994</v>
      </c>
    </row>
    <row r="267" spans="1:15" ht="3.75" customHeight="1">
      <c r="B267" s="928"/>
      <c r="C267" s="928"/>
      <c r="E267" s="881"/>
      <c r="F267" s="881"/>
      <c r="G267" s="881"/>
      <c r="H267" s="881"/>
      <c r="I267" s="881"/>
      <c r="J267" s="881"/>
      <c r="K267" s="881"/>
      <c r="L267" s="881"/>
      <c r="M267" s="881"/>
      <c r="N267" s="881"/>
      <c r="O267" s="881"/>
    </row>
    <row r="268" spans="1:15" ht="11.1" customHeight="1">
      <c r="A268" s="912" t="s">
        <v>1285</v>
      </c>
      <c r="B268" s="928" t="s">
        <v>1286</v>
      </c>
      <c r="C268" s="928"/>
      <c r="E268" s="914"/>
      <c r="F268" s="914"/>
      <c r="I268" s="914"/>
      <c r="J268" s="890"/>
      <c r="K268" s="914"/>
      <c r="L268" s="890"/>
      <c r="M268" s="914"/>
      <c r="N268" s="914"/>
      <c r="O268" s="914"/>
    </row>
    <row r="269" spans="1:15" ht="11.1" customHeight="1">
      <c r="B269" s="928" t="s">
        <v>1287</v>
      </c>
      <c r="C269" s="928"/>
      <c r="E269" s="914">
        <v>1.5</v>
      </c>
      <c r="F269" s="914">
        <v>4.3</v>
      </c>
      <c r="G269" s="914">
        <v>4</v>
      </c>
      <c r="H269" s="914">
        <v>7.5</v>
      </c>
      <c r="I269" s="919">
        <v>3.2</v>
      </c>
      <c r="J269" s="919">
        <v>2.7</v>
      </c>
      <c r="K269" s="914">
        <v>2.7</v>
      </c>
      <c r="L269" s="914">
        <v>5.9</v>
      </c>
      <c r="M269" s="914">
        <v>5.2</v>
      </c>
      <c r="N269" s="914">
        <v>4.3</v>
      </c>
      <c r="O269" s="914">
        <v>2.4</v>
      </c>
    </row>
    <row r="270" spans="1:15" ht="11.1" customHeight="1">
      <c r="A270" s="917"/>
      <c r="B270" s="898" t="s">
        <v>1288</v>
      </c>
      <c r="C270" s="918" t="s">
        <v>1289</v>
      </c>
      <c r="D270" s="917"/>
      <c r="E270" s="919">
        <v>0.4</v>
      </c>
      <c r="F270" s="914">
        <v>0.6</v>
      </c>
      <c r="G270" s="914">
        <v>0.6</v>
      </c>
      <c r="H270" s="914">
        <v>1.2</v>
      </c>
      <c r="I270" s="844" t="s">
        <v>1036</v>
      </c>
      <c r="J270" s="844" t="s">
        <v>1036</v>
      </c>
      <c r="K270" s="914">
        <v>0.9</v>
      </c>
      <c r="L270" s="914">
        <v>1.1000000000000001</v>
      </c>
      <c r="M270" s="844" t="s">
        <v>1036</v>
      </c>
      <c r="N270" s="914">
        <v>1.1000000000000001</v>
      </c>
      <c r="O270" s="914">
        <v>0.8</v>
      </c>
    </row>
    <row r="271" spans="1:15" ht="11.1" customHeight="1">
      <c r="A271" s="917"/>
      <c r="B271" s="898" t="s">
        <v>1290</v>
      </c>
      <c r="C271" s="918" t="s">
        <v>1291</v>
      </c>
      <c r="D271" s="917"/>
      <c r="E271" s="914">
        <v>1.1000000000000001</v>
      </c>
      <c r="F271" s="914">
        <v>3.6</v>
      </c>
      <c r="G271" s="914">
        <v>3.3</v>
      </c>
      <c r="H271" s="914">
        <v>6.1</v>
      </c>
      <c r="I271" s="919">
        <v>3</v>
      </c>
      <c r="J271" s="919">
        <v>2.4</v>
      </c>
      <c r="K271" s="914">
        <v>1.6</v>
      </c>
      <c r="L271" s="914">
        <v>4.5999999999999996</v>
      </c>
      <c r="M271" s="914">
        <v>4.3</v>
      </c>
      <c r="N271" s="914">
        <v>3.1</v>
      </c>
      <c r="O271" s="914">
        <v>1.6</v>
      </c>
    </row>
    <row r="272" spans="1:15" ht="11.1" customHeight="1">
      <c r="A272" s="917"/>
      <c r="B272" s="898" t="s">
        <v>1292</v>
      </c>
      <c r="C272" s="918" t="s">
        <v>1293</v>
      </c>
      <c r="D272" s="917"/>
      <c r="E272" s="844" t="s">
        <v>1036</v>
      </c>
      <c r="F272" s="844" t="s">
        <v>1036</v>
      </c>
      <c r="G272" s="844" t="s">
        <v>1036</v>
      </c>
      <c r="H272" s="919">
        <v>0.2</v>
      </c>
      <c r="I272" s="844" t="s">
        <v>1035</v>
      </c>
      <c r="J272" s="844" t="s">
        <v>1036</v>
      </c>
      <c r="K272" s="844" t="s">
        <v>1036</v>
      </c>
      <c r="L272" s="844" t="s">
        <v>1036</v>
      </c>
      <c r="M272" s="844" t="s">
        <v>1036</v>
      </c>
      <c r="N272" s="844" t="s">
        <v>1036</v>
      </c>
      <c r="O272" s="844" t="s">
        <v>1036</v>
      </c>
    </row>
    <row r="273" spans="1:15" ht="3.75" customHeight="1">
      <c r="B273" s="913"/>
      <c r="C273" s="913"/>
      <c r="D273" s="914"/>
      <c r="E273" s="914"/>
      <c r="F273" s="914"/>
      <c r="G273" s="914"/>
      <c r="H273" s="914"/>
      <c r="I273" s="914"/>
      <c r="J273" s="914"/>
      <c r="K273" s="914"/>
      <c r="L273" s="914"/>
      <c r="M273" s="914"/>
      <c r="N273" s="914"/>
      <c r="O273" s="914"/>
    </row>
    <row r="274" spans="1:15" ht="11.1" customHeight="1">
      <c r="A274" s="912" t="s">
        <v>1294</v>
      </c>
      <c r="B274" s="913" t="s">
        <v>1295</v>
      </c>
      <c r="C274" s="913"/>
      <c r="D274" s="914"/>
      <c r="E274" s="844" t="s">
        <v>1036</v>
      </c>
      <c r="F274" s="914">
        <v>5.3</v>
      </c>
      <c r="G274" s="844" t="s">
        <v>1036</v>
      </c>
      <c r="H274" s="914">
        <v>5.6</v>
      </c>
      <c r="I274" s="844" t="s">
        <v>1036</v>
      </c>
      <c r="J274" s="844" t="s">
        <v>1036</v>
      </c>
      <c r="K274" s="919">
        <v>3.8</v>
      </c>
      <c r="L274" s="844">
        <v>4.5</v>
      </c>
      <c r="M274" s="844" t="s">
        <v>1036</v>
      </c>
      <c r="N274" s="919">
        <v>2.9</v>
      </c>
      <c r="O274" s="844" t="s">
        <v>1036</v>
      </c>
    </row>
    <row r="275" spans="1:15" ht="3.75" customHeight="1">
      <c r="E275" s="914"/>
      <c r="F275" s="914"/>
      <c r="G275" s="919"/>
      <c r="H275" s="919"/>
      <c r="I275" s="914"/>
      <c r="J275" s="914"/>
      <c r="K275" s="914"/>
      <c r="L275" s="914"/>
      <c r="M275" s="914"/>
      <c r="N275" s="914"/>
      <c r="O275" s="914"/>
    </row>
    <row r="276" spans="1:15" ht="11.1" customHeight="1">
      <c r="A276" s="912" t="s">
        <v>1296</v>
      </c>
      <c r="B276" s="807" t="s">
        <v>1297</v>
      </c>
      <c r="E276" s="914"/>
      <c r="F276" s="914"/>
      <c r="G276" s="914"/>
      <c r="H276" s="914"/>
      <c r="I276" s="914"/>
      <c r="J276" s="914"/>
      <c r="K276" s="914"/>
      <c r="L276" s="914"/>
      <c r="M276" s="914"/>
      <c r="N276" s="914"/>
      <c r="O276" s="914"/>
    </row>
    <row r="277" spans="1:15" ht="11.1" customHeight="1">
      <c r="A277" s="966"/>
      <c r="B277" s="803" t="s">
        <v>1298</v>
      </c>
      <c r="C277" s="803"/>
      <c r="D277" s="803"/>
      <c r="E277" s="914">
        <v>7.9</v>
      </c>
      <c r="F277" s="914">
        <v>14.6</v>
      </c>
      <c r="G277" s="914">
        <v>8</v>
      </c>
      <c r="H277" s="914">
        <v>20.100000000000001</v>
      </c>
      <c r="I277" s="914">
        <v>12.6</v>
      </c>
      <c r="J277" s="914">
        <v>12.5</v>
      </c>
      <c r="K277" s="914">
        <v>18.8</v>
      </c>
      <c r="L277" s="914">
        <v>25.9</v>
      </c>
      <c r="M277" s="914">
        <v>30.6</v>
      </c>
      <c r="N277" s="914">
        <v>21.1</v>
      </c>
      <c r="O277" s="914">
        <v>28.6</v>
      </c>
    </row>
    <row r="278" spans="1:15" ht="11.1" customHeight="1">
      <c r="A278" s="801"/>
      <c r="B278" s="898" t="s">
        <v>1299</v>
      </c>
      <c r="C278" s="799" t="s">
        <v>1300</v>
      </c>
      <c r="D278" s="801"/>
      <c r="E278" s="914">
        <v>0.6</v>
      </c>
      <c r="F278" s="914">
        <v>1.9</v>
      </c>
      <c r="G278" s="914">
        <v>1</v>
      </c>
      <c r="H278" s="914">
        <v>2.1</v>
      </c>
      <c r="I278" s="914">
        <v>5.8</v>
      </c>
      <c r="J278" s="914">
        <v>6.2</v>
      </c>
      <c r="K278" s="914">
        <v>5.5</v>
      </c>
      <c r="L278" s="914">
        <v>7.4</v>
      </c>
      <c r="M278" s="914">
        <v>9.1</v>
      </c>
      <c r="N278" s="914">
        <v>2.4</v>
      </c>
      <c r="O278" s="914">
        <v>3.9</v>
      </c>
    </row>
    <row r="279" spans="1:15" ht="11.1" customHeight="1">
      <c r="A279" s="967"/>
      <c r="B279" s="898" t="s">
        <v>1301</v>
      </c>
      <c r="C279" s="799" t="s">
        <v>1302</v>
      </c>
      <c r="D279" s="967"/>
      <c r="E279" s="919">
        <v>0.2</v>
      </c>
      <c r="F279" s="914">
        <v>0.2</v>
      </c>
      <c r="G279" s="914">
        <v>0.5</v>
      </c>
      <c r="H279" s="914">
        <v>0.7</v>
      </c>
      <c r="I279" s="920" t="s">
        <v>1036</v>
      </c>
      <c r="J279" s="919">
        <v>2</v>
      </c>
      <c r="K279" s="914">
        <v>1.4</v>
      </c>
      <c r="L279" s="914">
        <v>1.9</v>
      </c>
      <c r="M279" s="914">
        <v>1.9</v>
      </c>
      <c r="N279" s="914">
        <v>1.9</v>
      </c>
      <c r="O279" s="919">
        <v>3.1</v>
      </c>
    </row>
    <row r="280" spans="1:15" ht="11.1" customHeight="1">
      <c r="A280" s="801"/>
      <c r="B280" s="898" t="s">
        <v>1303</v>
      </c>
      <c r="C280" s="799" t="s">
        <v>1304</v>
      </c>
      <c r="D280" s="801"/>
      <c r="E280" s="920">
        <v>0.1</v>
      </c>
      <c r="F280" s="914">
        <v>0.8</v>
      </c>
      <c r="G280" s="914">
        <v>0.7</v>
      </c>
      <c r="H280" s="914">
        <v>2.7</v>
      </c>
      <c r="I280" s="920" t="s">
        <v>1036</v>
      </c>
      <c r="J280" s="920" t="s">
        <v>1036</v>
      </c>
      <c r="K280" s="914">
        <v>2</v>
      </c>
      <c r="L280" s="914">
        <v>6.9</v>
      </c>
      <c r="M280" s="919">
        <v>9.4</v>
      </c>
      <c r="N280" s="914">
        <v>2.2999999999999998</v>
      </c>
      <c r="O280" s="914">
        <v>1.4</v>
      </c>
    </row>
    <row r="281" spans="1:15" ht="11.1" customHeight="1">
      <c r="A281" s="801"/>
      <c r="B281" s="898" t="s">
        <v>1305</v>
      </c>
      <c r="C281" s="799" t="s">
        <v>1306</v>
      </c>
      <c r="D281" s="801"/>
      <c r="E281" s="914">
        <v>3.4</v>
      </c>
      <c r="F281" s="914">
        <v>6.5</v>
      </c>
      <c r="G281" s="914">
        <v>1.7</v>
      </c>
      <c r="H281" s="914">
        <v>5.4</v>
      </c>
      <c r="I281" s="914">
        <v>1.6</v>
      </c>
      <c r="J281" s="919">
        <v>1</v>
      </c>
      <c r="K281" s="914">
        <v>2.9</v>
      </c>
      <c r="L281" s="914">
        <v>3.4</v>
      </c>
      <c r="M281" s="914">
        <v>2.5</v>
      </c>
      <c r="N281" s="914">
        <v>5</v>
      </c>
      <c r="O281" s="914">
        <v>3.2</v>
      </c>
    </row>
    <row r="282" spans="1:15" ht="11.1" customHeight="1">
      <c r="A282" s="967"/>
      <c r="B282" s="968" t="s">
        <v>1307</v>
      </c>
      <c r="C282" s="969" t="s">
        <v>1308</v>
      </c>
      <c r="D282" s="967"/>
      <c r="E282" s="914">
        <v>3.6</v>
      </c>
      <c r="F282" s="914">
        <v>5</v>
      </c>
      <c r="G282" s="914">
        <v>4.0999999999999996</v>
      </c>
      <c r="H282" s="914">
        <v>9.1999999999999993</v>
      </c>
      <c r="I282" s="914">
        <v>3.4</v>
      </c>
      <c r="J282" s="914">
        <v>3</v>
      </c>
      <c r="K282" s="914">
        <v>7</v>
      </c>
      <c r="L282" s="914">
        <v>6.3</v>
      </c>
      <c r="M282" s="914">
        <v>7.7</v>
      </c>
      <c r="N282" s="914">
        <v>9.5</v>
      </c>
      <c r="O282" s="914">
        <v>17</v>
      </c>
    </row>
    <row r="283" spans="1:15" ht="3.75" customHeight="1">
      <c r="E283" s="914"/>
      <c r="F283" s="914"/>
      <c r="G283" s="914"/>
      <c r="H283" s="914"/>
      <c r="I283" s="914"/>
      <c r="J283" s="914"/>
      <c r="K283" s="914"/>
      <c r="L283" s="914"/>
      <c r="M283" s="914"/>
      <c r="N283" s="914"/>
      <c r="O283" s="914"/>
    </row>
    <row r="284" spans="1:15" ht="11.1" customHeight="1">
      <c r="A284" s="912" t="s">
        <v>1309</v>
      </c>
      <c r="B284" s="807" t="s">
        <v>1310</v>
      </c>
      <c r="E284" s="914">
        <v>7.7</v>
      </c>
      <c r="F284" s="914">
        <v>14.5</v>
      </c>
      <c r="G284" s="914">
        <v>9.1999999999999993</v>
      </c>
      <c r="H284" s="914">
        <v>16.5</v>
      </c>
      <c r="I284" s="914">
        <v>12.6</v>
      </c>
      <c r="J284" s="914">
        <v>12.3</v>
      </c>
      <c r="K284" s="914">
        <v>23.2</v>
      </c>
      <c r="L284" s="914">
        <v>26.8</v>
      </c>
      <c r="M284" s="914">
        <v>23.2</v>
      </c>
      <c r="N284" s="914">
        <v>22</v>
      </c>
      <c r="O284" s="914">
        <v>17.899999999999999</v>
      </c>
    </row>
    <row r="285" spans="1:15" ht="11.1" customHeight="1">
      <c r="A285" s="801"/>
      <c r="B285" s="898" t="s">
        <v>1311</v>
      </c>
      <c r="C285" s="799" t="s">
        <v>1312</v>
      </c>
      <c r="D285" s="801"/>
      <c r="E285" s="914"/>
      <c r="F285" s="914"/>
      <c r="G285" s="914"/>
      <c r="H285" s="914"/>
      <c r="I285" s="914"/>
      <c r="J285" s="914"/>
      <c r="K285" s="914"/>
      <c r="L285" s="914"/>
      <c r="M285" s="914"/>
      <c r="N285" s="914"/>
      <c r="O285" s="914"/>
    </row>
    <row r="286" spans="1:15" ht="11.1" customHeight="1">
      <c r="A286" s="801"/>
      <c r="B286" s="898"/>
      <c r="C286" s="799" t="s">
        <v>1313</v>
      </c>
      <c r="D286" s="801"/>
      <c r="E286" s="914">
        <v>1.2</v>
      </c>
      <c r="F286" s="914">
        <v>3.3</v>
      </c>
      <c r="G286" s="914">
        <v>2.6</v>
      </c>
      <c r="H286" s="914">
        <v>5.0999999999999996</v>
      </c>
      <c r="I286" s="919">
        <v>4.0999999999999996</v>
      </c>
      <c r="J286" s="914">
        <v>4.9000000000000004</v>
      </c>
      <c r="K286" s="914">
        <v>11</v>
      </c>
      <c r="L286" s="914">
        <v>13.9</v>
      </c>
      <c r="M286" s="914">
        <v>11.8</v>
      </c>
      <c r="N286" s="914">
        <v>6.4</v>
      </c>
      <c r="O286" s="914">
        <v>7.3</v>
      </c>
    </row>
    <row r="287" spans="1:15" ht="11.1" customHeight="1">
      <c r="A287" s="801"/>
      <c r="B287" s="898" t="s">
        <v>1314</v>
      </c>
      <c r="C287" s="799" t="s">
        <v>1315</v>
      </c>
      <c r="D287" s="801"/>
      <c r="E287" s="914">
        <v>0.5</v>
      </c>
      <c r="F287" s="914">
        <v>1.3</v>
      </c>
      <c r="G287" s="914">
        <v>1</v>
      </c>
      <c r="H287" s="914">
        <v>2.2000000000000002</v>
      </c>
      <c r="I287" s="920">
        <v>1.5</v>
      </c>
      <c r="J287" s="920" t="s">
        <v>1036</v>
      </c>
      <c r="K287" s="914">
        <v>3.3</v>
      </c>
      <c r="L287" s="914">
        <v>1.7</v>
      </c>
      <c r="M287" s="914">
        <v>2.8</v>
      </c>
      <c r="N287" s="914">
        <v>4.8</v>
      </c>
      <c r="O287" s="920">
        <v>1.3</v>
      </c>
    </row>
    <row r="288" spans="1:15" ht="11.1" customHeight="1">
      <c r="A288" s="801"/>
      <c r="B288" s="898" t="s">
        <v>1316</v>
      </c>
      <c r="C288" s="799" t="s">
        <v>1317</v>
      </c>
      <c r="D288" s="801"/>
      <c r="E288" s="914"/>
      <c r="F288" s="914"/>
      <c r="G288" s="914"/>
      <c r="H288" s="914"/>
      <c r="I288" s="914"/>
      <c r="J288" s="914"/>
      <c r="K288" s="914"/>
      <c r="L288" s="914"/>
      <c r="M288" s="914"/>
      <c r="N288" s="914"/>
      <c r="O288" s="914"/>
    </row>
    <row r="289" spans="1:15" ht="11.1" customHeight="1">
      <c r="A289" s="801"/>
      <c r="B289" s="898"/>
      <c r="C289" s="799" t="s">
        <v>1318</v>
      </c>
      <c r="D289" s="801"/>
      <c r="E289" s="914">
        <v>3.8</v>
      </c>
      <c r="F289" s="914">
        <v>5.6</v>
      </c>
      <c r="G289" s="914">
        <v>4.5</v>
      </c>
      <c r="H289" s="914">
        <v>6.4</v>
      </c>
      <c r="I289" s="914">
        <v>5.2</v>
      </c>
      <c r="J289" s="914">
        <v>5.2</v>
      </c>
      <c r="K289" s="914">
        <v>6.6</v>
      </c>
      <c r="L289" s="914">
        <v>6.6</v>
      </c>
      <c r="M289" s="914">
        <v>7</v>
      </c>
      <c r="N289" s="914">
        <v>7.7</v>
      </c>
      <c r="O289" s="914">
        <v>7</v>
      </c>
    </row>
    <row r="290" spans="1:15" ht="11.1" customHeight="1">
      <c r="A290" s="801"/>
      <c r="B290" s="898" t="s">
        <v>1319</v>
      </c>
      <c r="C290" s="799" t="s">
        <v>1320</v>
      </c>
      <c r="D290" s="801"/>
      <c r="E290" s="914">
        <v>0.7</v>
      </c>
      <c r="F290" s="914">
        <v>2.2000000000000002</v>
      </c>
      <c r="G290" s="914">
        <v>0.5</v>
      </c>
      <c r="H290" s="914">
        <v>1.2</v>
      </c>
      <c r="I290" s="919">
        <v>1.4</v>
      </c>
      <c r="J290" s="919">
        <v>0.7</v>
      </c>
      <c r="K290" s="914">
        <v>1.3</v>
      </c>
      <c r="L290" s="914">
        <v>3.6</v>
      </c>
      <c r="M290" s="914">
        <v>1.1000000000000001</v>
      </c>
      <c r="N290" s="914">
        <v>1.2</v>
      </c>
      <c r="O290" s="914">
        <v>1.2</v>
      </c>
    </row>
    <row r="291" spans="1:15" ht="11.1" customHeight="1">
      <c r="A291" s="801"/>
      <c r="B291" s="898" t="s">
        <v>1321</v>
      </c>
      <c r="C291" s="799" t="s">
        <v>1322</v>
      </c>
      <c r="D291" s="801"/>
      <c r="E291" s="914"/>
      <c r="F291" s="914"/>
      <c r="G291" s="914"/>
      <c r="H291" s="914"/>
      <c r="I291" s="914"/>
      <c r="J291" s="914"/>
      <c r="K291" s="914"/>
      <c r="L291" s="914"/>
      <c r="M291" s="914"/>
      <c r="N291" s="914"/>
      <c r="O291" s="914"/>
    </row>
    <row r="292" spans="1:15" ht="11.1" customHeight="1">
      <c r="A292" s="801"/>
      <c r="B292" s="898"/>
      <c r="C292" s="799" t="s">
        <v>1323</v>
      </c>
      <c r="D292" s="801"/>
      <c r="E292" s="919">
        <v>0.2</v>
      </c>
      <c r="F292" s="919">
        <v>0.1</v>
      </c>
      <c r="G292" s="844" t="s">
        <v>1036</v>
      </c>
      <c r="H292" s="914">
        <v>0.5</v>
      </c>
      <c r="I292" s="844" t="s">
        <v>1036</v>
      </c>
      <c r="J292" s="844" t="s">
        <v>1036</v>
      </c>
      <c r="K292" s="919">
        <v>0.2</v>
      </c>
      <c r="L292" s="919">
        <v>0.3</v>
      </c>
      <c r="M292" s="844" t="s">
        <v>1036</v>
      </c>
      <c r="N292" s="919">
        <v>0.2</v>
      </c>
      <c r="O292" s="844" t="s">
        <v>1036</v>
      </c>
    </row>
    <row r="293" spans="1:15" ht="11.1" customHeight="1">
      <c r="A293" s="801"/>
      <c r="B293" s="898" t="s">
        <v>1324</v>
      </c>
      <c r="C293" s="799" t="s">
        <v>1325</v>
      </c>
      <c r="D293" s="801"/>
      <c r="E293" s="914">
        <v>1.2</v>
      </c>
      <c r="F293" s="914">
        <v>2</v>
      </c>
      <c r="G293" s="914">
        <v>0.6</v>
      </c>
      <c r="H293" s="914">
        <v>1.1000000000000001</v>
      </c>
      <c r="I293" s="919">
        <v>0.3</v>
      </c>
      <c r="J293" s="919">
        <v>0.5</v>
      </c>
      <c r="K293" s="914">
        <v>0.8</v>
      </c>
      <c r="L293" s="914">
        <v>0.6</v>
      </c>
      <c r="M293" s="919">
        <v>0.4</v>
      </c>
      <c r="N293" s="914">
        <v>1.7</v>
      </c>
      <c r="O293" s="914">
        <v>1</v>
      </c>
    </row>
    <row r="294" spans="1:15" ht="3.75" customHeight="1">
      <c r="C294" s="798"/>
      <c r="E294" s="914"/>
      <c r="F294" s="914"/>
      <c r="G294" s="914"/>
      <c r="H294" s="914"/>
      <c r="I294" s="914"/>
      <c r="J294" s="914"/>
      <c r="K294" s="914"/>
      <c r="L294" s="914"/>
      <c r="M294" s="914"/>
      <c r="N294" s="914"/>
      <c r="O294" s="914"/>
    </row>
    <row r="295" spans="1:15" ht="11.1" customHeight="1">
      <c r="A295" s="912" t="s">
        <v>1326</v>
      </c>
      <c r="B295" s="807" t="s">
        <v>1327</v>
      </c>
      <c r="C295" s="798"/>
      <c r="E295" s="914">
        <v>4.0999999999999996</v>
      </c>
      <c r="F295" s="914">
        <v>7.1</v>
      </c>
      <c r="G295" s="914">
        <v>2.2999999999999998</v>
      </c>
      <c r="H295" s="914">
        <v>4.2</v>
      </c>
      <c r="I295" s="914">
        <v>2.6</v>
      </c>
      <c r="J295" s="914">
        <v>2.9</v>
      </c>
      <c r="K295" s="914">
        <v>4.3</v>
      </c>
      <c r="L295" s="914">
        <v>4.7</v>
      </c>
      <c r="M295" s="914">
        <v>4.9000000000000004</v>
      </c>
      <c r="N295" s="914">
        <v>5.8</v>
      </c>
      <c r="O295" s="914">
        <v>4.2</v>
      </c>
    </row>
    <row r="296" spans="1:15" ht="11.1" customHeight="1">
      <c r="A296" s="801"/>
      <c r="B296" s="898" t="s">
        <v>1328</v>
      </c>
      <c r="C296" s="801" t="s">
        <v>1329</v>
      </c>
      <c r="D296" s="801"/>
      <c r="E296" s="914">
        <v>0.7</v>
      </c>
      <c r="F296" s="914">
        <v>1.1000000000000001</v>
      </c>
      <c r="G296" s="914">
        <v>0.5</v>
      </c>
      <c r="H296" s="914">
        <v>1.1000000000000001</v>
      </c>
      <c r="I296" s="919">
        <v>0.8</v>
      </c>
      <c r="J296" s="920" t="s">
        <v>1036</v>
      </c>
      <c r="K296" s="914">
        <v>1.5</v>
      </c>
      <c r="L296" s="914">
        <v>1.5</v>
      </c>
      <c r="M296" s="914">
        <v>0.8</v>
      </c>
      <c r="N296" s="914">
        <v>1.7</v>
      </c>
      <c r="O296" s="914">
        <v>1.2</v>
      </c>
    </row>
    <row r="297" spans="1:15" ht="11.1" customHeight="1">
      <c r="A297" s="801"/>
      <c r="B297" s="898" t="s">
        <v>1330</v>
      </c>
      <c r="C297" s="799" t="s">
        <v>1331</v>
      </c>
      <c r="D297" s="801"/>
      <c r="E297" s="914">
        <v>1.2</v>
      </c>
      <c r="F297" s="914">
        <v>2.2000000000000002</v>
      </c>
      <c r="G297" s="914">
        <v>1.1000000000000001</v>
      </c>
      <c r="H297" s="914">
        <v>2</v>
      </c>
      <c r="I297" s="914">
        <v>1.5</v>
      </c>
      <c r="J297" s="914">
        <v>1.8</v>
      </c>
      <c r="K297" s="914">
        <v>2.2999999999999998</v>
      </c>
      <c r="L297" s="914">
        <v>2.6</v>
      </c>
      <c r="M297" s="914">
        <v>3.2</v>
      </c>
      <c r="N297" s="914">
        <v>2.6</v>
      </c>
      <c r="O297" s="914">
        <v>2.5</v>
      </c>
    </row>
    <row r="298" spans="1:15" ht="11.1" customHeight="1">
      <c r="A298" s="801"/>
      <c r="B298" s="898" t="s">
        <v>1332</v>
      </c>
      <c r="C298" s="799" t="s">
        <v>1333</v>
      </c>
      <c r="D298" s="801"/>
      <c r="E298" s="914">
        <v>1.6</v>
      </c>
      <c r="F298" s="914">
        <v>3</v>
      </c>
      <c r="G298" s="914">
        <v>0.4</v>
      </c>
      <c r="H298" s="914">
        <v>0.6</v>
      </c>
      <c r="I298" s="920" t="s">
        <v>1036</v>
      </c>
      <c r="J298" s="920" t="s">
        <v>1036</v>
      </c>
      <c r="K298" s="914">
        <v>0.2</v>
      </c>
      <c r="L298" s="914">
        <v>0.2</v>
      </c>
      <c r="M298" s="919">
        <v>0.1</v>
      </c>
      <c r="N298" s="914">
        <v>0.7</v>
      </c>
      <c r="O298" s="914">
        <v>0.3</v>
      </c>
    </row>
    <row r="299" spans="1:15" ht="11.1" customHeight="1">
      <c r="A299" s="801"/>
      <c r="B299" s="898" t="s">
        <v>1334</v>
      </c>
      <c r="C299" s="799" t="s">
        <v>1335</v>
      </c>
      <c r="D299" s="801"/>
      <c r="E299" s="914">
        <v>0.6</v>
      </c>
      <c r="F299" s="914">
        <v>0.8</v>
      </c>
      <c r="G299" s="914">
        <v>0.3</v>
      </c>
      <c r="H299" s="914">
        <v>0.5</v>
      </c>
      <c r="I299" s="919">
        <v>0.2</v>
      </c>
      <c r="J299" s="920">
        <v>0.3</v>
      </c>
      <c r="K299" s="914">
        <v>0.2</v>
      </c>
      <c r="L299" s="914">
        <v>0.4</v>
      </c>
      <c r="M299" s="914">
        <v>0.8</v>
      </c>
      <c r="N299" s="914">
        <v>0.7</v>
      </c>
      <c r="O299" s="914">
        <v>0.2</v>
      </c>
    </row>
    <row r="300" spans="1:15" ht="3.75" customHeight="1">
      <c r="C300" s="798"/>
      <c r="E300" s="914"/>
      <c r="F300" s="914"/>
      <c r="G300" s="914"/>
      <c r="H300" s="914"/>
      <c r="I300" s="914"/>
      <c r="J300" s="914"/>
      <c r="K300" s="914"/>
      <c r="L300" s="914"/>
      <c r="M300" s="914"/>
      <c r="N300" s="914"/>
      <c r="O300" s="914"/>
    </row>
    <row r="301" spans="1:15" ht="11.1" customHeight="1">
      <c r="A301" s="912" t="s">
        <v>1336</v>
      </c>
      <c r="B301" s="807" t="s">
        <v>1337</v>
      </c>
      <c r="C301" s="798"/>
      <c r="E301" s="914">
        <v>3</v>
      </c>
      <c r="F301" s="914">
        <v>16.2</v>
      </c>
      <c r="G301" s="914">
        <v>6.4</v>
      </c>
      <c r="H301" s="914">
        <v>10.5</v>
      </c>
      <c r="I301" s="920" t="s">
        <v>1036</v>
      </c>
      <c r="J301" s="920">
        <v>5.8</v>
      </c>
      <c r="K301" s="914">
        <v>14.3</v>
      </c>
      <c r="L301" s="914">
        <v>13.2</v>
      </c>
      <c r="M301" s="914">
        <v>17.5</v>
      </c>
      <c r="N301" s="914">
        <v>14</v>
      </c>
      <c r="O301" s="919">
        <v>13.3</v>
      </c>
    </row>
    <row r="302" spans="1:15" ht="11.1" customHeight="1">
      <c r="A302" s="801"/>
      <c r="B302" s="898" t="s">
        <v>1338</v>
      </c>
      <c r="C302" s="799" t="s">
        <v>1339</v>
      </c>
      <c r="D302" s="801"/>
      <c r="E302" s="844">
        <v>1.4</v>
      </c>
      <c r="F302" s="914">
        <v>3.5</v>
      </c>
      <c r="G302" s="919">
        <v>0.7</v>
      </c>
      <c r="H302" s="914">
        <v>1.2</v>
      </c>
      <c r="I302" s="920" t="s">
        <v>1036</v>
      </c>
      <c r="J302" s="920" t="s">
        <v>1036</v>
      </c>
      <c r="K302" s="920">
        <v>1.8</v>
      </c>
      <c r="L302" s="914">
        <v>3</v>
      </c>
      <c r="M302" s="920">
        <v>3.3</v>
      </c>
      <c r="N302" s="919">
        <v>2.2000000000000002</v>
      </c>
      <c r="O302" s="844" t="s">
        <v>1036</v>
      </c>
    </row>
    <row r="303" spans="1:15" ht="11.1" customHeight="1">
      <c r="A303" s="801"/>
      <c r="B303" s="898" t="s">
        <v>1340</v>
      </c>
      <c r="C303" s="799" t="s">
        <v>1341</v>
      </c>
      <c r="D303" s="801"/>
      <c r="E303" s="919">
        <v>1.7</v>
      </c>
      <c r="F303" s="914">
        <v>12.7</v>
      </c>
      <c r="G303" s="914">
        <v>5.7</v>
      </c>
      <c r="H303" s="914">
        <v>9.3000000000000007</v>
      </c>
      <c r="I303" s="920" t="s">
        <v>1036</v>
      </c>
      <c r="J303" s="920" t="s">
        <v>1036</v>
      </c>
      <c r="K303" s="914">
        <v>12.5</v>
      </c>
      <c r="L303" s="914">
        <v>10.199999999999999</v>
      </c>
      <c r="M303" s="920">
        <v>14.3</v>
      </c>
      <c r="N303" s="914">
        <v>11.7</v>
      </c>
      <c r="O303" s="919">
        <v>12.3</v>
      </c>
    </row>
    <row r="304" spans="1:15" ht="3.75" customHeight="1">
      <c r="E304" s="914"/>
      <c r="F304" s="914"/>
      <c r="G304" s="914"/>
      <c r="H304" s="914"/>
      <c r="I304" s="934"/>
      <c r="J304" s="934"/>
      <c r="K304" s="934"/>
      <c r="L304" s="934"/>
      <c r="M304" s="934"/>
      <c r="N304" s="934"/>
      <c r="O304" s="934"/>
    </row>
    <row r="305" spans="1:15" ht="3.75" customHeight="1">
      <c r="A305" s="960"/>
      <c r="B305" s="970"/>
      <c r="C305" s="970"/>
      <c r="D305" s="908"/>
      <c r="E305" s="971"/>
      <c r="F305" s="971"/>
      <c r="G305" s="971"/>
      <c r="H305" s="971"/>
      <c r="I305" s="914"/>
      <c r="J305" s="914"/>
      <c r="K305" s="914"/>
      <c r="L305" s="914"/>
      <c r="M305" s="914"/>
      <c r="N305" s="914"/>
      <c r="O305" s="914"/>
    </row>
    <row r="306" spans="1:15" ht="12.75" customHeight="1">
      <c r="A306" s="910" t="s">
        <v>1342</v>
      </c>
      <c r="B306" s="873" t="s">
        <v>1034</v>
      </c>
      <c r="C306" s="873"/>
      <c r="D306" s="874"/>
      <c r="E306" s="865" t="s">
        <v>1036</v>
      </c>
      <c r="F306" s="865" t="s">
        <v>1036</v>
      </c>
      <c r="G306" s="911">
        <v>3.9</v>
      </c>
      <c r="H306" s="911">
        <v>1.5</v>
      </c>
      <c r="I306" s="972">
        <v>28.6</v>
      </c>
      <c r="J306" s="865" t="s">
        <v>1036</v>
      </c>
      <c r="K306" s="911">
        <v>10.7</v>
      </c>
      <c r="L306" s="911">
        <v>8.8000000000000007</v>
      </c>
      <c r="M306" s="972">
        <v>14.2</v>
      </c>
      <c r="N306" s="972">
        <v>9</v>
      </c>
      <c r="O306" s="972">
        <v>15.2</v>
      </c>
    </row>
    <row r="307" spans="1:15" ht="3.75" customHeight="1">
      <c r="E307" s="973"/>
      <c r="F307" s="973"/>
      <c r="G307" s="914"/>
      <c r="H307" s="914"/>
      <c r="I307" s="973"/>
      <c r="J307" s="973"/>
      <c r="K307" s="973"/>
      <c r="L307" s="973"/>
      <c r="M307" s="973"/>
      <c r="N307" s="973"/>
      <c r="O307" s="973"/>
    </row>
    <row r="308" spans="1:15" ht="11.1" customHeight="1">
      <c r="A308" s="912" t="s">
        <v>1343</v>
      </c>
      <c r="B308" s="807" t="s">
        <v>1344</v>
      </c>
      <c r="E308" s="844" t="s">
        <v>1036</v>
      </c>
      <c r="F308" s="844" t="s">
        <v>1036</v>
      </c>
      <c r="G308" s="914">
        <v>3.8</v>
      </c>
      <c r="H308" s="914">
        <v>1.4</v>
      </c>
      <c r="I308" s="844" t="s">
        <v>1036</v>
      </c>
      <c r="J308" s="844" t="s">
        <v>1036</v>
      </c>
      <c r="K308" s="914">
        <v>10.199999999999999</v>
      </c>
      <c r="L308" s="914">
        <v>7.9</v>
      </c>
      <c r="M308" s="844" t="s">
        <v>1036</v>
      </c>
      <c r="N308" s="919">
        <v>9</v>
      </c>
      <c r="O308" s="919">
        <v>15</v>
      </c>
    </row>
    <row r="309" spans="1:15" ht="11.1" customHeight="1">
      <c r="A309" s="912" t="s">
        <v>1345</v>
      </c>
      <c r="B309" s="807" t="s">
        <v>1346</v>
      </c>
      <c r="E309" s="914"/>
      <c r="F309" s="914"/>
      <c r="G309" s="914"/>
      <c r="H309" s="914"/>
      <c r="I309" s="914"/>
      <c r="J309" s="914"/>
      <c r="K309" s="914"/>
      <c r="L309" s="914"/>
      <c r="M309" s="914"/>
      <c r="N309" s="914"/>
      <c r="O309" s="914"/>
    </row>
    <row r="310" spans="1:15" ht="11.1" customHeight="1">
      <c r="B310" s="807" t="s">
        <v>1347</v>
      </c>
      <c r="E310" s="844" t="s">
        <v>1035</v>
      </c>
      <c r="F310" s="844" t="s">
        <v>1035</v>
      </c>
      <c r="G310" s="844" t="s">
        <v>1036</v>
      </c>
      <c r="H310" s="844" t="s">
        <v>1036</v>
      </c>
      <c r="I310" s="844" t="s">
        <v>1036</v>
      </c>
      <c r="J310" s="844" t="s">
        <v>1036</v>
      </c>
      <c r="K310" s="844" t="s">
        <v>1036</v>
      </c>
      <c r="L310" s="919">
        <v>1</v>
      </c>
      <c r="M310" s="844" t="s">
        <v>1036</v>
      </c>
      <c r="N310" s="844" t="s">
        <v>1035</v>
      </c>
      <c r="O310" s="844" t="s">
        <v>1036</v>
      </c>
    </row>
    <row r="311" spans="1:15" ht="3.75" customHeight="1">
      <c r="A311" s="895"/>
      <c r="B311" s="794"/>
      <c r="C311" s="794"/>
      <c r="D311" s="795"/>
      <c r="E311" s="934"/>
      <c r="F311" s="934"/>
      <c r="G311" s="934"/>
      <c r="H311" s="934"/>
      <c r="I311" s="934"/>
      <c r="J311" s="934"/>
      <c r="K311" s="934"/>
      <c r="L311" s="934"/>
      <c r="M311" s="934"/>
      <c r="N311" s="934"/>
      <c r="O311" s="934"/>
    </row>
    <row r="312" spans="1:15" ht="3.75" customHeight="1">
      <c r="E312" s="914"/>
      <c r="F312" s="914"/>
      <c r="G312" s="914"/>
      <c r="H312" s="914"/>
      <c r="I312" s="914"/>
      <c r="J312" s="914"/>
      <c r="K312" s="914"/>
      <c r="L312" s="914"/>
      <c r="M312" s="914"/>
      <c r="N312" s="914"/>
      <c r="O312" s="914"/>
    </row>
    <row r="313" spans="1:15" ht="12.75" customHeight="1">
      <c r="A313" s="910" t="s">
        <v>1348</v>
      </c>
      <c r="B313" s="873" t="s">
        <v>1349</v>
      </c>
      <c r="C313" s="873"/>
      <c r="D313" s="874"/>
      <c r="E313" s="911">
        <v>12.5</v>
      </c>
      <c r="F313" s="911">
        <v>32.799999999999997</v>
      </c>
      <c r="G313" s="911">
        <v>20.3</v>
      </c>
      <c r="H313" s="911">
        <v>43.5</v>
      </c>
      <c r="I313" s="911">
        <v>18.399999999999999</v>
      </c>
      <c r="J313" s="911">
        <v>25.6</v>
      </c>
      <c r="K313" s="911">
        <v>41.4</v>
      </c>
      <c r="L313" s="911">
        <v>48.4</v>
      </c>
      <c r="M313" s="911">
        <v>33.299999999999997</v>
      </c>
      <c r="N313" s="911">
        <v>56.7</v>
      </c>
      <c r="O313" s="911">
        <v>49.2</v>
      </c>
    </row>
    <row r="314" spans="1:15" ht="3.75" customHeight="1">
      <c r="I314" s="890"/>
      <c r="J314" s="890"/>
      <c r="K314" s="890"/>
      <c r="L314" s="890"/>
      <c r="M314" s="890"/>
      <c r="N314" s="890"/>
      <c r="O314" s="890"/>
    </row>
    <row r="315" spans="1:15" ht="11.1" customHeight="1">
      <c r="A315" s="912" t="s">
        <v>1350</v>
      </c>
      <c r="B315" s="807" t="s">
        <v>1351</v>
      </c>
      <c r="E315" s="914">
        <v>9</v>
      </c>
      <c r="F315" s="914">
        <v>21.6</v>
      </c>
      <c r="G315" s="914">
        <v>15.3</v>
      </c>
      <c r="H315" s="914">
        <v>31.9</v>
      </c>
      <c r="I315" s="914">
        <v>11.4</v>
      </c>
      <c r="J315" s="914">
        <v>16</v>
      </c>
      <c r="K315" s="914">
        <v>30.4</v>
      </c>
      <c r="L315" s="914">
        <v>35.299999999999997</v>
      </c>
      <c r="M315" s="914">
        <v>24.1</v>
      </c>
      <c r="N315" s="914">
        <v>44.2</v>
      </c>
      <c r="O315" s="914">
        <v>37.700000000000003</v>
      </c>
    </row>
    <row r="316" spans="1:15" ht="11.1" customHeight="1">
      <c r="A316" s="801"/>
      <c r="B316" s="898" t="s">
        <v>1352</v>
      </c>
      <c r="C316" s="799" t="s">
        <v>1353</v>
      </c>
      <c r="D316" s="801"/>
      <c r="E316" s="914">
        <v>5.9</v>
      </c>
      <c r="F316" s="914">
        <v>13.9</v>
      </c>
      <c r="G316" s="914">
        <v>7.4</v>
      </c>
      <c r="H316" s="914">
        <v>15.7</v>
      </c>
      <c r="I316" s="914">
        <v>3.9</v>
      </c>
      <c r="J316" s="844">
        <v>5.9</v>
      </c>
      <c r="K316" s="914">
        <v>14.9</v>
      </c>
      <c r="L316" s="914">
        <v>15.4</v>
      </c>
      <c r="M316" s="914">
        <v>9</v>
      </c>
      <c r="N316" s="914">
        <v>22</v>
      </c>
      <c r="O316" s="914">
        <v>15.4</v>
      </c>
    </row>
    <row r="317" spans="1:15" ht="11.1" customHeight="1">
      <c r="A317" s="898"/>
      <c r="B317" s="898" t="s">
        <v>1354</v>
      </c>
      <c r="C317" s="801" t="s">
        <v>1355</v>
      </c>
      <c r="D317" s="801"/>
      <c r="E317" s="914">
        <v>1.7</v>
      </c>
      <c r="F317" s="914">
        <v>4.5</v>
      </c>
      <c r="G317" s="914">
        <v>3.7</v>
      </c>
      <c r="H317" s="914">
        <v>7.8</v>
      </c>
      <c r="I317" s="920">
        <v>1.3</v>
      </c>
      <c r="J317" s="920">
        <v>1.1000000000000001</v>
      </c>
      <c r="K317" s="914">
        <v>4.4000000000000004</v>
      </c>
      <c r="L317" s="914">
        <v>4.5999999999999996</v>
      </c>
      <c r="M317" s="914">
        <v>2.4</v>
      </c>
      <c r="N317" s="914">
        <v>9.6</v>
      </c>
      <c r="O317" s="914">
        <v>4.8</v>
      </c>
    </row>
    <row r="318" spans="1:15" ht="11.1" customHeight="1">
      <c r="A318" s="898"/>
      <c r="B318" s="898" t="s">
        <v>1356</v>
      </c>
      <c r="C318" s="801" t="s">
        <v>1357</v>
      </c>
      <c r="D318" s="801"/>
      <c r="E318" s="914">
        <v>1</v>
      </c>
      <c r="F318" s="914">
        <v>1.9</v>
      </c>
      <c r="G318" s="914">
        <v>2.5</v>
      </c>
      <c r="H318" s="914">
        <v>5</v>
      </c>
      <c r="I318" s="914">
        <v>2.8</v>
      </c>
      <c r="J318" s="914">
        <v>2.7</v>
      </c>
      <c r="K318" s="914">
        <v>6</v>
      </c>
      <c r="L318" s="914">
        <v>6.5</v>
      </c>
      <c r="M318" s="914">
        <v>4.7</v>
      </c>
      <c r="N318" s="914">
        <v>6.8</v>
      </c>
      <c r="O318" s="914">
        <v>8.1</v>
      </c>
    </row>
    <row r="319" spans="1:15" ht="11.1" customHeight="1">
      <c r="A319" s="801"/>
      <c r="B319" s="898" t="s">
        <v>1358</v>
      </c>
      <c r="C319" s="799" t="s">
        <v>1359</v>
      </c>
      <c r="D319" s="801"/>
      <c r="E319" s="914">
        <v>0.4</v>
      </c>
      <c r="F319" s="914">
        <v>1</v>
      </c>
      <c r="G319" s="914">
        <v>1.6</v>
      </c>
      <c r="H319" s="914">
        <v>3</v>
      </c>
      <c r="I319" s="914">
        <v>2.2999999999999998</v>
      </c>
      <c r="J319" s="914">
        <v>3.7</v>
      </c>
      <c r="K319" s="914">
        <v>4.2</v>
      </c>
      <c r="L319" s="914">
        <v>5.2</v>
      </c>
      <c r="M319" s="914">
        <v>4.5999999999999996</v>
      </c>
      <c r="N319" s="914">
        <v>5.2</v>
      </c>
      <c r="O319" s="914">
        <v>7.5</v>
      </c>
    </row>
    <row r="320" spans="1:15" ht="11.1" customHeight="1">
      <c r="A320" s="898"/>
      <c r="B320" s="898" t="s">
        <v>1360</v>
      </c>
      <c r="C320" s="801" t="s">
        <v>1361</v>
      </c>
      <c r="D320" s="801"/>
      <c r="E320" s="844" t="s">
        <v>1035</v>
      </c>
      <c r="F320" s="920" t="s">
        <v>1036</v>
      </c>
      <c r="G320" s="914">
        <v>0.2</v>
      </c>
      <c r="H320" s="914">
        <v>0.4</v>
      </c>
      <c r="I320" s="920">
        <v>1.1000000000000001</v>
      </c>
      <c r="J320" s="920">
        <v>2.6</v>
      </c>
      <c r="K320" s="914">
        <v>1.1000000000000001</v>
      </c>
      <c r="L320" s="914">
        <v>3.6</v>
      </c>
      <c r="M320" s="914">
        <v>3.5</v>
      </c>
      <c r="N320" s="914">
        <v>0.5</v>
      </c>
      <c r="O320" s="914">
        <v>1.9</v>
      </c>
    </row>
    <row r="321" spans="1:15" ht="3.75" customHeight="1">
      <c r="E321" s="914"/>
      <c r="F321" s="914"/>
      <c r="G321" s="914"/>
      <c r="H321" s="914"/>
      <c r="I321" s="914"/>
      <c r="J321" s="914"/>
      <c r="K321" s="914"/>
      <c r="L321" s="914"/>
      <c r="M321" s="914"/>
      <c r="N321" s="914"/>
      <c r="O321" s="914"/>
    </row>
    <row r="322" spans="1:15" ht="11.1" customHeight="1">
      <c r="A322" s="912" t="s">
        <v>1362</v>
      </c>
      <c r="B322" s="807" t="s">
        <v>1363</v>
      </c>
      <c r="E322" s="914">
        <v>3.5</v>
      </c>
      <c r="F322" s="914">
        <v>11.2</v>
      </c>
      <c r="G322" s="914">
        <v>5</v>
      </c>
      <c r="H322" s="914">
        <v>11.6</v>
      </c>
      <c r="I322" s="844">
        <v>7</v>
      </c>
      <c r="J322" s="844">
        <v>9.6</v>
      </c>
      <c r="K322" s="914">
        <v>11</v>
      </c>
      <c r="L322" s="914">
        <v>13.1</v>
      </c>
      <c r="M322" s="914">
        <v>9.1</v>
      </c>
      <c r="N322" s="914">
        <v>12.5</v>
      </c>
      <c r="O322" s="914">
        <v>11.5</v>
      </c>
    </row>
    <row r="323" spans="1:15" ht="11.1" customHeight="1">
      <c r="A323" s="801"/>
      <c r="B323" s="898" t="s">
        <v>1364</v>
      </c>
      <c r="C323" s="799" t="s">
        <v>1365</v>
      </c>
      <c r="D323" s="801"/>
      <c r="E323" s="914">
        <v>3.5</v>
      </c>
      <c r="F323" s="914">
        <v>10.1</v>
      </c>
      <c r="G323" s="914">
        <v>3.9</v>
      </c>
      <c r="H323" s="914">
        <v>9.8000000000000007</v>
      </c>
      <c r="I323" s="844">
        <v>2.9</v>
      </c>
      <c r="J323" s="844">
        <v>6.1</v>
      </c>
      <c r="K323" s="914">
        <v>9.6999999999999993</v>
      </c>
      <c r="L323" s="914">
        <v>11.8</v>
      </c>
      <c r="M323" s="914">
        <v>9.1</v>
      </c>
      <c r="N323" s="914">
        <v>9.9</v>
      </c>
      <c r="O323" s="914">
        <v>9.9</v>
      </c>
    </row>
    <row r="324" spans="1:15" ht="11.1" customHeight="1">
      <c r="A324" s="801"/>
      <c r="B324" s="898" t="s">
        <v>1366</v>
      </c>
      <c r="C324" s="799" t="s">
        <v>1367</v>
      </c>
      <c r="D324" s="801"/>
      <c r="E324" s="844" t="s">
        <v>1036</v>
      </c>
      <c r="F324" s="920">
        <v>1.1000000000000001</v>
      </c>
      <c r="G324" s="914">
        <v>1.1000000000000001</v>
      </c>
      <c r="H324" s="914">
        <v>1.8</v>
      </c>
      <c r="I324" s="920" t="s">
        <v>1036</v>
      </c>
      <c r="J324" s="920" t="s">
        <v>1036</v>
      </c>
      <c r="K324" s="920" t="s">
        <v>1036</v>
      </c>
      <c r="L324" s="920">
        <v>1.3</v>
      </c>
      <c r="M324" s="920" t="s">
        <v>1035</v>
      </c>
      <c r="N324" s="920">
        <v>2.5</v>
      </c>
      <c r="O324" s="844" t="s">
        <v>1036</v>
      </c>
    </row>
    <row r="325" spans="1:15" ht="11.1" customHeight="1">
      <c r="A325" s="801"/>
      <c r="B325" s="898" t="s">
        <v>1368</v>
      </c>
      <c r="C325" s="799" t="s">
        <v>1369</v>
      </c>
      <c r="D325" s="801"/>
      <c r="E325" s="920" t="s">
        <v>1035</v>
      </c>
      <c r="F325" s="844" t="s">
        <v>1036</v>
      </c>
      <c r="G325" s="844" t="s">
        <v>1036</v>
      </c>
      <c r="H325" s="844" t="s">
        <v>1036</v>
      </c>
      <c r="I325" s="920" t="s">
        <v>1035</v>
      </c>
      <c r="J325" s="920" t="s">
        <v>1035</v>
      </c>
      <c r="K325" s="920" t="s">
        <v>1035</v>
      </c>
      <c r="L325" s="844" t="s">
        <v>1036</v>
      </c>
      <c r="M325" s="920" t="s">
        <v>1035</v>
      </c>
      <c r="N325" s="844" t="s">
        <v>1036</v>
      </c>
      <c r="O325" s="844" t="s">
        <v>1036</v>
      </c>
    </row>
    <row r="326" spans="1:15" ht="3.75" customHeight="1">
      <c r="A326" s="895"/>
      <c r="B326" s="794"/>
      <c r="C326" s="794"/>
      <c r="D326" s="795"/>
      <c r="E326" s="934"/>
      <c r="F326" s="934"/>
      <c r="G326" s="934"/>
      <c r="H326" s="934"/>
      <c r="I326" s="934"/>
      <c r="J326" s="934"/>
      <c r="K326" s="934"/>
      <c r="L326" s="934"/>
      <c r="M326" s="934"/>
      <c r="N326" s="934"/>
      <c r="O326" s="934"/>
    </row>
    <row r="327" spans="1:15" ht="3.75" customHeight="1">
      <c r="E327" s="914"/>
      <c r="F327" s="914"/>
      <c r="G327" s="914"/>
      <c r="H327" s="914"/>
      <c r="I327" s="914"/>
      <c r="J327" s="914"/>
      <c r="K327" s="914"/>
      <c r="L327" s="914"/>
      <c r="M327" s="914"/>
    </row>
    <row r="328" spans="1:15" ht="11.1" customHeight="1">
      <c r="A328" s="850" t="s">
        <v>1047</v>
      </c>
      <c r="B328" s="913"/>
      <c r="C328" s="913"/>
      <c r="D328" s="914"/>
      <c r="E328" s="914"/>
      <c r="F328" s="914"/>
      <c r="G328" s="914"/>
      <c r="H328" s="914"/>
      <c r="I328" s="914"/>
      <c r="J328" s="914"/>
      <c r="K328" s="914"/>
      <c r="L328" s="914"/>
      <c r="M328" s="914"/>
    </row>
    <row r="329" spans="1:15" ht="11.1" customHeight="1">
      <c r="A329" s="850" t="s">
        <v>1137</v>
      </c>
      <c r="B329" s="913"/>
      <c r="C329" s="913"/>
      <c r="D329" s="914"/>
      <c r="E329" s="914"/>
      <c r="F329" s="914"/>
      <c r="G329" s="914"/>
      <c r="H329" s="914"/>
      <c r="I329" s="914"/>
      <c r="J329" s="914"/>
      <c r="K329" s="914"/>
      <c r="L329" s="914"/>
      <c r="M329" s="914"/>
    </row>
    <row r="330" spans="1:15" ht="11.1" customHeight="1">
      <c r="A330" s="845" t="s">
        <v>1048</v>
      </c>
      <c r="B330" s="913"/>
      <c r="C330" s="913"/>
      <c r="D330" s="914"/>
      <c r="E330" s="914"/>
      <c r="F330" s="914"/>
      <c r="G330" s="914"/>
      <c r="H330" s="914"/>
      <c r="I330" s="914"/>
      <c r="J330" s="914"/>
      <c r="K330" s="914"/>
      <c r="L330" s="914"/>
      <c r="M330" s="914"/>
    </row>
    <row r="331" spans="1:15" ht="11.1" customHeight="1">
      <c r="A331" s="951" t="s">
        <v>1370</v>
      </c>
      <c r="B331" s="913"/>
      <c r="C331" s="913"/>
      <c r="D331" s="914"/>
      <c r="E331" s="914"/>
      <c r="F331" s="914"/>
      <c r="G331" s="914"/>
      <c r="H331" s="914"/>
    </row>
    <row r="332" spans="1:15" ht="11.1" customHeight="1">
      <c r="A332" s="951"/>
      <c r="E332" s="914"/>
      <c r="F332" s="914"/>
      <c r="G332" s="914"/>
      <c r="H332" s="914"/>
    </row>
    <row r="333" spans="1:15" ht="11.1" customHeight="1">
      <c r="E333" s="914"/>
      <c r="F333" s="914"/>
      <c r="G333" s="914"/>
      <c r="H333" s="914"/>
    </row>
    <row r="334" spans="1:15" ht="11.1" customHeight="1">
      <c r="E334" s="914"/>
      <c r="F334" s="914"/>
      <c r="G334" s="914"/>
      <c r="H334" s="914"/>
    </row>
    <row r="338" spans="1:15" ht="15.75" customHeight="1">
      <c r="A338" s="782" t="s">
        <v>919</v>
      </c>
      <c r="B338" s="782"/>
    </row>
    <row r="339" spans="1:15" ht="15.75" customHeight="1">
      <c r="A339" s="782" t="s">
        <v>1052</v>
      </c>
      <c r="B339" s="891"/>
      <c r="C339" s="784"/>
      <c r="D339" s="789"/>
      <c r="E339" s="789"/>
      <c r="F339" s="892"/>
      <c r="G339" s="892"/>
      <c r="H339" s="893"/>
    </row>
    <row r="340" spans="1:15" ht="15.75" customHeight="1">
      <c r="A340" s="792" t="s">
        <v>1448</v>
      </c>
      <c r="B340" s="894"/>
      <c r="C340" s="870"/>
      <c r="D340" s="793"/>
      <c r="E340" s="789"/>
      <c r="F340" s="892"/>
      <c r="G340" s="892"/>
      <c r="H340" s="893"/>
    </row>
    <row r="341" spans="1:15" ht="4.5" customHeight="1">
      <c r="A341" s="895"/>
      <c r="B341" s="794"/>
      <c r="C341" s="794"/>
      <c r="D341" s="795"/>
      <c r="E341" s="896"/>
      <c r="F341" s="896"/>
      <c r="G341" s="896"/>
      <c r="H341" s="896"/>
      <c r="I341" s="896"/>
      <c r="J341" s="896"/>
      <c r="K341" s="896"/>
      <c r="L341" s="896"/>
      <c r="M341" s="896"/>
    </row>
    <row r="342" spans="1:15" ht="4.5" customHeight="1">
      <c r="A342" s="958"/>
      <c r="B342" s="800"/>
      <c r="C342" s="800"/>
      <c r="D342" s="801"/>
      <c r="E342" s="899"/>
      <c r="F342" s="899"/>
      <c r="G342" s="899"/>
      <c r="H342" s="899"/>
      <c r="I342" s="801"/>
      <c r="J342" s="899"/>
      <c r="K342" s="801"/>
      <c r="L342" s="899"/>
      <c r="M342" s="801"/>
      <c r="N342" s="900"/>
      <c r="O342" s="900"/>
    </row>
    <row r="343" spans="1:15" ht="12.75" customHeight="1">
      <c r="A343" s="905"/>
      <c r="B343" s="901"/>
      <c r="C343" s="901"/>
      <c r="D343" s="901"/>
      <c r="E343" s="805" t="s">
        <v>912</v>
      </c>
      <c r="F343" s="805"/>
      <c r="G343" s="805" t="s">
        <v>146</v>
      </c>
      <c r="H343" s="806"/>
      <c r="I343" s="805" t="s">
        <v>913</v>
      </c>
      <c r="J343" s="805"/>
      <c r="K343" s="805"/>
      <c r="L343" s="805"/>
      <c r="M343" s="805"/>
      <c r="N343" s="805"/>
      <c r="O343" s="805"/>
    </row>
    <row r="344" spans="1:15" ht="12.75" customHeight="1">
      <c r="A344" s="905"/>
      <c r="B344" s="901"/>
      <c r="C344" s="901"/>
      <c r="D344" s="901"/>
      <c r="E344" s="805"/>
      <c r="F344" s="806"/>
      <c r="G344" s="817" t="s">
        <v>929</v>
      </c>
      <c r="H344" s="813" t="s">
        <v>931</v>
      </c>
      <c r="I344" s="805" t="s">
        <v>922</v>
      </c>
      <c r="J344" s="902"/>
      <c r="K344" s="805" t="s">
        <v>923</v>
      </c>
      <c r="L344" s="902"/>
      <c r="M344" s="806"/>
      <c r="N344" s="903" t="s">
        <v>924</v>
      </c>
      <c r="O344" s="806"/>
    </row>
    <row r="345" spans="1:15" ht="12.75" customHeight="1">
      <c r="A345" s="905"/>
      <c r="B345" s="901"/>
      <c r="C345" s="901"/>
      <c r="D345" s="901"/>
      <c r="E345" s="817" t="s">
        <v>929</v>
      </c>
      <c r="F345" s="817" t="s">
        <v>930</v>
      </c>
      <c r="G345" s="813" t="s">
        <v>935</v>
      </c>
      <c r="H345" s="813" t="s">
        <v>936</v>
      </c>
      <c r="I345" s="817" t="s">
        <v>932</v>
      </c>
      <c r="J345" s="820" t="s">
        <v>932</v>
      </c>
      <c r="K345" s="813" t="s">
        <v>932</v>
      </c>
      <c r="L345" s="820" t="s">
        <v>932</v>
      </c>
      <c r="M345" s="820" t="s">
        <v>932</v>
      </c>
      <c r="N345" s="820" t="s">
        <v>933</v>
      </c>
      <c r="O345" s="820" t="s">
        <v>932</v>
      </c>
    </row>
    <row r="346" spans="1:15" ht="12.75" customHeight="1">
      <c r="A346" s="905"/>
      <c r="B346" s="901"/>
      <c r="C346" s="901"/>
      <c r="D346" s="901"/>
      <c r="E346" s="813" t="s">
        <v>935</v>
      </c>
      <c r="F346" s="817" t="s">
        <v>936</v>
      </c>
      <c r="G346" s="813" t="s">
        <v>26</v>
      </c>
      <c r="H346" s="813"/>
      <c r="I346" s="817" t="s">
        <v>937</v>
      </c>
      <c r="J346" s="817" t="s">
        <v>938</v>
      </c>
      <c r="K346" s="817" t="s">
        <v>937</v>
      </c>
      <c r="L346" s="817" t="s">
        <v>938</v>
      </c>
      <c r="M346" s="817" t="s">
        <v>939</v>
      </c>
      <c r="N346" s="817" t="s">
        <v>940</v>
      </c>
      <c r="O346" s="817" t="s">
        <v>940</v>
      </c>
    </row>
    <row r="347" spans="1:15" ht="12.75" customHeight="1">
      <c r="A347" s="905"/>
      <c r="B347" s="901"/>
      <c r="C347" s="901"/>
      <c r="D347" s="901"/>
      <c r="E347" s="793"/>
      <c r="F347" s="817"/>
      <c r="G347" s="793"/>
      <c r="H347" s="793"/>
      <c r="I347" s="817" t="s">
        <v>941</v>
      </c>
      <c r="J347" s="817" t="s">
        <v>942</v>
      </c>
      <c r="K347" s="817" t="s">
        <v>941</v>
      </c>
      <c r="L347" s="817" t="s">
        <v>940</v>
      </c>
      <c r="M347" s="817" t="s">
        <v>942</v>
      </c>
      <c r="N347" s="813"/>
      <c r="O347" s="813"/>
    </row>
    <row r="348" spans="1:15" ht="12.75" customHeight="1">
      <c r="A348" s="905"/>
      <c r="B348" s="901"/>
      <c r="C348" s="901"/>
      <c r="D348" s="901"/>
      <c r="E348" s="822"/>
      <c r="F348" s="822"/>
      <c r="G348" s="822"/>
      <c r="H348" s="822"/>
      <c r="I348" s="793"/>
      <c r="J348" s="817" t="s">
        <v>940</v>
      </c>
      <c r="K348" s="793"/>
      <c r="L348" s="793"/>
      <c r="M348" s="817" t="s">
        <v>940</v>
      </c>
      <c r="N348" s="793"/>
      <c r="O348" s="793"/>
    </row>
    <row r="349" spans="1:15" ht="4.5" customHeight="1">
      <c r="A349" s="929"/>
      <c r="B349" s="794"/>
      <c r="C349" s="794"/>
      <c r="D349" s="959"/>
      <c r="E349" s="796"/>
      <c r="F349" s="796"/>
      <c r="G349" s="796"/>
      <c r="H349" s="796"/>
      <c r="I349" s="796"/>
      <c r="J349" s="795"/>
      <c r="K349" s="795"/>
      <c r="L349" s="796"/>
      <c r="M349" s="796"/>
      <c r="N349" s="796"/>
      <c r="O349" s="796"/>
    </row>
    <row r="350" spans="1:15" ht="4.5" customHeight="1">
      <c r="B350" s="928"/>
      <c r="C350" s="928"/>
      <c r="I350" s="890"/>
      <c r="J350" s="890"/>
      <c r="K350" s="890"/>
      <c r="L350" s="890"/>
      <c r="M350" s="890"/>
    </row>
    <row r="351" spans="1:15" ht="11.1" customHeight="1">
      <c r="A351" s="909" t="s">
        <v>1030</v>
      </c>
      <c r="B351" s="834"/>
      <c r="C351" s="834"/>
      <c r="D351" s="835"/>
      <c r="E351" s="1335" t="s">
        <v>1031</v>
      </c>
      <c r="F351" s="1335"/>
      <c r="G351" s="1335"/>
      <c r="H351" s="1335"/>
      <c r="I351" s="1335"/>
      <c r="J351" s="1335"/>
      <c r="K351" s="1335"/>
      <c r="L351" s="1335"/>
      <c r="M351" s="1335"/>
    </row>
    <row r="352" spans="1:15" ht="4.5" customHeight="1">
      <c r="A352" s="895"/>
      <c r="B352" s="795"/>
      <c r="C352" s="795"/>
      <c r="D352" s="795"/>
      <c r="E352" s="896"/>
      <c r="F352" s="896"/>
      <c r="G352" s="896"/>
      <c r="H352" s="896"/>
      <c r="I352" s="896"/>
      <c r="J352" s="896"/>
      <c r="K352" s="896"/>
      <c r="L352" s="896"/>
      <c r="M352" s="896"/>
      <c r="N352" s="795"/>
      <c r="O352" s="795"/>
    </row>
    <row r="353" spans="1:15" ht="4.5" customHeight="1">
      <c r="A353" s="963"/>
      <c r="B353" s="842"/>
      <c r="C353" s="842"/>
      <c r="D353" s="846"/>
      <c r="E353" s="846"/>
      <c r="F353" s="846"/>
      <c r="G353" s="846"/>
      <c r="H353" s="846"/>
      <c r="I353" s="846"/>
      <c r="J353" s="846"/>
      <c r="K353" s="846"/>
      <c r="L353" s="846"/>
      <c r="M353" s="846"/>
      <c r="N353" s="846"/>
      <c r="O353" s="846"/>
    </row>
    <row r="354" spans="1:15" ht="12.75" customHeight="1">
      <c r="A354" s="935" t="s">
        <v>1371</v>
      </c>
      <c r="B354" s="974" t="s">
        <v>1372</v>
      </c>
      <c r="C354" s="974"/>
      <c r="D354" s="975"/>
      <c r="E354" s="938">
        <v>24.6</v>
      </c>
      <c r="F354" s="938">
        <v>42.4</v>
      </c>
      <c r="G354" s="938">
        <v>22.9</v>
      </c>
      <c r="H354" s="938">
        <v>44.3</v>
      </c>
      <c r="I354" s="938">
        <v>29.2</v>
      </c>
      <c r="J354" s="938">
        <v>26.5</v>
      </c>
      <c r="K354" s="938">
        <v>54.3</v>
      </c>
      <c r="L354" s="938">
        <v>56.7</v>
      </c>
      <c r="M354" s="938">
        <v>46.1</v>
      </c>
      <c r="N354" s="938">
        <v>55.1</v>
      </c>
      <c r="O354" s="938">
        <v>55.9</v>
      </c>
    </row>
    <row r="355" spans="1:15" ht="4.5" customHeight="1">
      <c r="E355" s="914"/>
      <c r="F355" s="914"/>
      <c r="I355" s="914"/>
      <c r="J355" s="890"/>
      <c r="K355" s="914"/>
      <c r="L355" s="890"/>
      <c r="M355" s="914"/>
      <c r="N355" s="914"/>
      <c r="O355" s="914"/>
    </row>
    <row r="356" spans="1:15" ht="11.1" customHeight="1">
      <c r="A356" s="912" t="s">
        <v>1373</v>
      </c>
      <c r="B356" s="807" t="s">
        <v>1374</v>
      </c>
      <c r="E356" s="914">
        <v>6.3</v>
      </c>
      <c r="F356" s="914">
        <v>11.7</v>
      </c>
      <c r="G356" s="914">
        <v>6.2</v>
      </c>
      <c r="H356" s="914">
        <v>12</v>
      </c>
      <c r="I356" s="914">
        <v>8.9</v>
      </c>
      <c r="J356" s="914">
        <v>8.6</v>
      </c>
      <c r="K356" s="914">
        <v>12.9</v>
      </c>
      <c r="L356" s="914">
        <v>13.8</v>
      </c>
      <c r="M356" s="914">
        <v>13.7</v>
      </c>
      <c r="N356" s="914">
        <v>18.600000000000001</v>
      </c>
      <c r="O356" s="914">
        <v>17.5</v>
      </c>
    </row>
    <row r="357" spans="1:15" ht="11.1" customHeight="1">
      <c r="A357" s="801"/>
      <c r="B357" s="898" t="s">
        <v>1375</v>
      </c>
      <c r="C357" s="799" t="s">
        <v>1376</v>
      </c>
      <c r="D357" s="801"/>
      <c r="E357" s="914">
        <v>2.4</v>
      </c>
      <c r="F357" s="914">
        <v>4.4000000000000004</v>
      </c>
      <c r="G357" s="914">
        <v>2.2000000000000002</v>
      </c>
      <c r="H357" s="914">
        <v>4.7</v>
      </c>
      <c r="I357" s="920">
        <v>1.8</v>
      </c>
      <c r="J357" s="920">
        <v>1.9</v>
      </c>
      <c r="K357" s="914">
        <v>3</v>
      </c>
      <c r="L357" s="914">
        <v>3.6</v>
      </c>
      <c r="M357" s="914">
        <v>2.7</v>
      </c>
      <c r="N357" s="914">
        <v>4.9000000000000004</v>
      </c>
      <c r="O357" s="914">
        <v>5</v>
      </c>
    </row>
    <row r="358" spans="1:15" ht="11.1" customHeight="1">
      <c r="A358" s="801"/>
      <c r="B358" s="898" t="s">
        <v>1377</v>
      </c>
      <c r="C358" s="799" t="s">
        <v>1378</v>
      </c>
      <c r="D358" s="801"/>
      <c r="E358" s="914">
        <v>0.6</v>
      </c>
      <c r="F358" s="914">
        <v>1</v>
      </c>
      <c r="G358" s="914">
        <v>0.5</v>
      </c>
      <c r="H358" s="914">
        <v>1</v>
      </c>
      <c r="I358" s="914">
        <v>0.6</v>
      </c>
      <c r="J358" s="914">
        <v>0.7</v>
      </c>
      <c r="K358" s="914">
        <v>1</v>
      </c>
      <c r="L358" s="914">
        <v>1.2</v>
      </c>
      <c r="M358" s="914">
        <v>1.4</v>
      </c>
      <c r="N358" s="914">
        <v>1.5</v>
      </c>
      <c r="O358" s="914">
        <v>1.6</v>
      </c>
    </row>
    <row r="359" spans="1:15" ht="11.1" customHeight="1">
      <c r="A359" s="801"/>
      <c r="B359" s="898" t="s">
        <v>1379</v>
      </c>
      <c r="C359" s="799" t="s">
        <v>1380</v>
      </c>
      <c r="D359" s="801"/>
      <c r="E359" s="914">
        <v>1.4</v>
      </c>
      <c r="F359" s="914">
        <v>2.6</v>
      </c>
      <c r="G359" s="914">
        <v>1.3</v>
      </c>
      <c r="H359" s="914">
        <v>2.2000000000000002</v>
      </c>
      <c r="I359" s="914">
        <v>1.8</v>
      </c>
      <c r="J359" s="914">
        <v>1.7</v>
      </c>
      <c r="K359" s="914">
        <v>2.4</v>
      </c>
      <c r="L359" s="914">
        <v>3.1</v>
      </c>
      <c r="M359" s="914">
        <v>2.7</v>
      </c>
      <c r="N359" s="914">
        <v>3.5</v>
      </c>
      <c r="O359" s="914">
        <v>3.6</v>
      </c>
    </row>
    <row r="360" spans="1:15" ht="11.1" customHeight="1">
      <c r="A360" s="801"/>
      <c r="B360" s="898" t="s">
        <v>1381</v>
      </c>
      <c r="C360" s="799" t="s">
        <v>1382</v>
      </c>
      <c r="D360" s="801"/>
      <c r="E360" s="914">
        <v>0.1</v>
      </c>
      <c r="F360" s="914">
        <v>0.2</v>
      </c>
      <c r="G360" s="914">
        <v>0.1</v>
      </c>
      <c r="H360" s="914">
        <v>0.2</v>
      </c>
      <c r="I360" s="914">
        <v>0.7</v>
      </c>
      <c r="J360" s="914">
        <v>0.7</v>
      </c>
      <c r="K360" s="914">
        <v>1.7</v>
      </c>
      <c r="L360" s="914">
        <v>1.2</v>
      </c>
      <c r="M360" s="914">
        <v>1.1000000000000001</v>
      </c>
      <c r="N360" s="914">
        <v>0.2</v>
      </c>
      <c r="O360" s="914">
        <v>0.5</v>
      </c>
    </row>
    <row r="361" spans="1:15" ht="11.1" customHeight="1">
      <c r="A361" s="801"/>
      <c r="B361" s="898" t="s">
        <v>1383</v>
      </c>
      <c r="C361" s="799" t="s">
        <v>1384</v>
      </c>
      <c r="D361" s="801"/>
      <c r="E361" s="914">
        <v>1.9</v>
      </c>
      <c r="F361" s="914">
        <v>3.5</v>
      </c>
      <c r="G361" s="914">
        <v>2.2000000000000002</v>
      </c>
      <c r="H361" s="914">
        <v>3.8</v>
      </c>
      <c r="I361" s="914">
        <v>4</v>
      </c>
      <c r="J361" s="914">
        <v>3.5</v>
      </c>
      <c r="K361" s="914">
        <v>4.8</v>
      </c>
      <c r="L361" s="914">
        <v>4.7</v>
      </c>
      <c r="M361" s="914">
        <v>5.7</v>
      </c>
      <c r="N361" s="914">
        <v>8.6</v>
      </c>
      <c r="O361" s="914">
        <v>6.8</v>
      </c>
    </row>
    <row r="362" spans="1:15" ht="4.5" customHeight="1">
      <c r="E362" s="914"/>
      <c r="F362" s="914"/>
      <c r="G362" s="914"/>
      <c r="H362" s="914"/>
      <c r="I362" s="914"/>
      <c r="J362" s="914"/>
      <c r="K362" s="914"/>
      <c r="L362" s="914"/>
      <c r="M362" s="914"/>
      <c r="N362" s="914"/>
      <c r="O362" s="914"/>
    </row>
    <row r="363" spans="1:15" ht="11.1" customHeight="1">
      <c r="A363" s="912" t="s">
        <v>1385</v>
      </c>
      <c r="B363" s="807" t="s">
        <v>1386</v>
      </c>
      <c r="E363" s="914">
        <v>0.7</v>
      </c>
      <c r="F363" s="914">
        <v>3.5</v>
      </c>
      <c r="G363" s="914">
        <v>1.6</v>
      </c>
      <c r="H363" s="914">
        <v>6.4</v>
      </c>
      <c r="I363" s="914">
        <v>1.4</v>
      </c>
      <c r="J363" s="919">
        <v>1.1000000000000001</v>
      </c>
      <c r="K363" s="914">
        <v>3</v>
      </c>
      <c r="L363" s="914">
        <v>4.2</v>
      </c>
      <c r="M363" s="914">
        <v>3.4</v>
      </c>
      <c r="N363" s="914">
        <v>4.5</v>
      </c>
      <c r="O363" s="914">
        <v>3</v>
      </c>
    </row>
    <row r="364" spans="1:15" ht="11.1" customHeight="1">
      <c r="A364" s="912" t="s">
        <v>1387</v>
      </c>
      <c r="B364" s="807" t="s">
        <v>1388</v>
      </c>
      <c r="E364" s="920" t="s">
        <v>1036</v>
      </c>
      <c r="F364" s="920" t="s">
        <v>1036</v>
      </c>
      <c r="G364" s="920" t="s">
        <v>1036</v>
      </c>
      <c r="H364" s="920" t="s">
        <v>1036</v>
      </c>
      <c r="I364" s="920" t="s">
        <v>1036</v>
      </c>
      <c r="J364" s="920" t="s">
        <v>1036</v>
      </c>
      <c r="K364" s="914">
        <v>9.1999999999999993</v>
      </c>
      <c r="L364" s="914">
        <v>8.6</v>
      </c>
      <c r="M364" s="920">
        <v>0.9</v>
      </c>
      <c r="N364" s="920" t="s">
        <v>1036</v>
      </c>
      <c r="O364" s="920" t="s">
        <v>1036</v>
      </c>
    </row>
    <row r="365" spans="1:15" ht="4.5" customHeight="1">
      <c r="E365" s="914"/>
      <c r="F365" s="914"/>
      <c r="G365" s="914"/>
      <c r="H365" s="914"/>
      <c r="I365" s="914"/>
      <c r="K365" s="914"/>
      <c r="M365" s="914"/>
      <c r="N365" s="914"/>
      <c r="O365" s="914"/>
    </row>
    <row r="366" spans="1:15" ht="11.1" customHeight="1">
      <c r="A366" s="912" t="s">
        <v>1389</v>
      </c>
      <c r="B366" s="807" t="s">
        <v>1390</v>
      </c>
      <c r="E366" s="914">
        <v>12</v>
      </c>
      <c r="F366" s="914">
        <v>20.2</v>
      </c>
      <c r="G366" s="914">
        <v>10.7</v>
      </c>
      <c r="H366" s="914">
        <v>19.2</v>
      </c>
      <c r="I366" s="914">
        <v>10.3</v>
      </c>
      <c r="J366" s="914">
        <v>9.6999999999999993</v>
      </c>
      <c r="K366" s="914">
        <v>21.9</v>
      </c>
      <c r="L366" s="914">
        <v>21</v>
      </c>
      <c r="M366" s="914">
        <v>21.1</v>
      </c>
      <c r="N366" s="914">
        <v>28.6</v>
      </c>
      <c r="O366" s="914">
        <v>26</v>
      </c>
    </row>
    <row r="367" spans="1:15" ht="11.1" customHeight="1">
      <c r="A367" s="801"/>
      <c r="B367" s="898" t="s">
        <v>1391</v>
      </c>
      <c r="C367" s="799" t="s">
        <v>1392</v>
      </c>
      <c r="D367" s="801"/>
      <c r="E367" s="914"/>
      <c r="F367" s="914"/>
      <c r="G367" s="914"/>
      <c r="H367" s="914"/>
      <c r="I367" s="914"/>
      <c r="K367" s="914"/>
      <c r="M367" s="914"/>
      <c r="N367" s="914"/>
      <c r="O367" s="914"/>
    </row>
    <row r="368" spans="1:15" ht="11.1" customHeight="1">
      <c r="A368" s="801"/>
      <c r="B368" s="801"/>
      <c r="C368" s="799" t="s">
        <v>1393</v>
      </c>
      <c r="D368" s="801"/>
      <c r="E368" s="914">
        <v>5</v>
      </c>
      <c r="F368" s="914">
        <v>6.7</v>
      </c>
      <c r="G368" s="914">
        <v>3.5</v>
      </c>
      <c r="H368" s="914">
        <v>5.2</v>
      </c>
      <c r="I368" s="914">
        <v>2.9</v>
      </c>
      <c r="J368" s="914">
        <v>1.7</v>
      </c>
      <c r="K368" s="914">
        <v>5.6</v>
      </c>
      <c r="L368" s="914">
        <v>5.6</v>
      </c>
      <c r="M368" s="914">
        <v>4.2</v>
      </c>
      <c r="N368" s="914">
        <v>5.8</v>
      </c>
      <c r="O368" s="914">
        <v>4.9000000000000004</v>
      </c>
    </row>
    <row r="369" spans="1:15" ht="11.1" customHeight="1">
      <c r="A369" s="801"/>
      <c r="B369" s="898" t="s">
        <v>1394</v>
      </c>
      <c r="C369" s="799" t="s">
        <v>1395</v>
      </c>
      <c r="D369" s="801"/>
      <c r="E369" s="914">
        <v>1.8</v>
      </c>
      <c r="F369" s="914">
        <v>4.0999999999999996</v>
      </c>
      <c r="G369" s="914">
        <v>1.9</v>
      </c>
      <c r="H369" s="914">
        <v>2.8</v>
      </c>
      <c r="I369" s="920" t="s">
        <v>1036</v>
      </c>
      <c r="J369" s="920">
        <v>0.9</v>
      </c>
      <c r="K369" s="914">
        <v>2.7</v>
      </c>
      <c r="L369" s="914">
        <v>2.2999999999999998</v>
      </c>
      <c r="M369" s="920">
        <v>2.4</v>
      </c>
      <c r="N369" s="914">
        <v>2.6</v>
      </c>
      <c r="O369" s="914">
        <v>1.3</v>
      </c>
    </row>
    <row r="370" spans="1:15" ht="11.1" customHeight="1">
      <c r="A370" s="976"/>
      <c r="B370" s="977" t="s">
        <v>1396</v>
      </c>
      <c r="C370" s="978" t="s">
        <v>1397</v>
      </c>
      <c r="D370" s="976"/>
      <c r="E370" s="943">
        <v>5</v>
      </c>
      <c r="F370" s="943">
        <v>8.6999999999999993</v>
      </c>
      <c r="G370" s="943">
        <v>5.3</v>
      </c>
      <c r="H370" s="943">
        <v>10.7</v>
      </c>
      <c r="I370" s="943">
        <v>6.6</v>
      </c>
      <c r="J370" s="943">
        <v>7</v>
      </c>
      <c r="K370" s="943">
        <v>13.3</v>
      </c>
      <c r="L370" s="943">
        <v>13</v>
      </c>
      <c r="M370" s="943">
        <v>14.3</v>
      </c>
      <c r="N370" s="943">
        <v>19.600000000000001</v>
      </c>
      <c r="O370" s="943">
        <v>19.7</v>
      </c>
    </row>
    <row r="371" spans="1:15" ht="11.1" customHeight="1">
      <c r="A371" s="801"/>
      <c r="B371" s="898" t="s">
        <v>1398</v>
      </c>
      <c r="C371" s="799" t="s">
        <v>1399</v>
      </c>
      <c r="D371" s="801"/>
      <c r="E371" s="914">
        <v>0.2</v>
      </c>
      <c r="F371" s="914">
        <v>0.7</v>
      </c>
      <c r="G371" s="914">
        <v>0.2</v>
      </c>
      <c r="H371" s="914">
        <v>0.5</v>
      </c>
      <c r="I371" s="844" t="s">
        <v>1036</v>
      </c>
      <c r="J371" s="844" t="s">
        <v>1036</v>
      </c>
      <c r="K371" s="914">
        <v>0.4</v>
      </c>
      <c r="L371" s="914">
        <v>0.2</v>
      </c>
      <c r="M371" s="844" t="s">
        <v>1036</v>
      </c>
      <c r="N371" s="914">
        <v>0.5</v>
      </c>
      <c r="O371" s="844" t="s">
        <v>1036</v>
      </c>
    </row>
    <row r="372" spans="1:15" ht="4.5" customHeight="1">
      <c r="B372" s="798"/>
      <c r="C372" s="798"/>
      <c r="E372" s="914"/>
      <c r="F372" s="914"/>
      <c r="G372" s="914"/>
      <c r="H372" s="914"/>
      <c r="I372" s="914"/>
      <c r="K372" s="914"/>
      <c r="M372" s="914"/>
      <c r="N372" s="914"/>
      <c r="O372" s="914"/>
    </row>
    <row r="373" spans="1:15" ht="11.1" customHeight="1">
      <c r="A373" s="912" t="s">
        <v>1400</v>
      </c>
      <c r="B373" s="807" t="s">
        <v>1401</v>
      </c>
      <c r="E373" s="914">
        <v>4</v>
      </c>
      <c r="F373" s="914">
        <v>4.3</v>
      </c>
      <c r="G373" s="914">
        <v>4.3</v>
      </c>
      <c r="H373" s="914">
        <v>6.7</v>
      </c>
      <c r="I373" s="914">
        <v>4.8</v>
      </c>
      <c r="J373" s="914">
        <v>5.2</v>
      </c>
      <c r="K373" s="914">
        <v>7.3</v>
      </c>
      <c r="L373" s="914">
        <v>9.1</v>
      </c>
      <c r="M373" s="914">
        <v>7</v>
      </c>
      <c r="N373" s="914">
        <v>3.1</v>
      </c>
      <c r="O373" s="914">
        <v>8</v>
      </c>
    </row>
    <row r="374" spans="1:15" ht="11.1" customHeight="1">
      <c r="A374" s="801"/>
      <c r="B374" s="898" t="s">
        <v>1402</v>
      </c>
      <c r="C374" s="799" t="s">
        <v>1403</v>
      </c>
      <c r="D374" s="801"/>
      <c r="E374" s="919">
        <v>1.5</v>
      </c>
      <c r="F374" s="914">
        <v>2.7</v>
      </c>
      <c r="G374" s="914">
        <v>2.8</v>
      </c>
      <c r="H374" s="914">
        <v>3.6</v>
      </c>
      <c r="I374" s="920" t="s">
        <v>1036</v>
      </c>
      <c r="J374" s="920" t="s">
        <v>1036</v>
      </c>
      <c r="K374" s="914">
        <v>4.4000000000000004</v>
      </c>
      <c r="L374" s="914">
        <v>4.7</v>
      </c>
      <c r="M374" s="920" t="s">
        <v>1036</v>
      </c>
      <c r="N374" s="919">
        <v>1</v>
      </c>
      <c r="O374" s="920">
        <v>3.2</v>
      </c>
    </row>
    <row r="375" spans="1:15" ht="11.1" customHeight="1">
      <c r="A375" s="801"/>
      <c r="B375" s="898" t="s">
        <v>1404</v>
      </c>
      <c r="C375" s="799" t="s">
        <v>1405</v>
      </c>
      <c r="D375" s="801"/>
      <c r="E375" s="914">
        <v>0.2</v>
      </c>
      <c r="F375" s="914">
        <v>0.6</v>
      </c>
      <c r="G375" s="914">
        <v>0.3</v>
      </c>
      <c r="H375" s="914">
        <v>0.7</v>
      </c>
      <c r="I375" s="914">
        <v>0.3</v>
      </c>
      <c r="J375" s="919">
        <v>0.4</v>
      </c>
      <c r="K375" s="914">
        <v>0.7</v>
      </c>
      <c r="L375" s="914">
        <v>0.9</v>
      </c>
      <c r="M375" s="914">
        <v>0.6</v>
      </c>
      <c r="N375" s="914">
        <v>0.6</v>
      </c>
      <c r="O375" s="914">
        <v>0.4</v>
      </c>
    </row>
    <row r="376" spans="1:15" ht="11.1" customHeight="1">
      <c r="A376" s="801"/>
      <c r="B376" s="898" t="s">
        <v>1406</v>
      </c>
      <c r="C376" s="799" t="s">
        <v>1407</v>
      </c>
      <c r="D376" s="801"/>
      <c r="E376" s="914">
        <v>2.2999999999999998</v>
      </c>
      <c r="F376" s="914">
        <v>1</v>
      </c>
      <c r="G376" s="914">
        <v>1.2</v>
      </c>
      <c r="H376" s="914">
        <v>2.5</v>
      </c>
      <c r="I376" s="920">
        <v>1.7</v>
      </c>
      <c r="J376" s="919">
        <v>3.7</v>
      </c>
      <c r="K376" s="914">
        <v>2.2000000000000002</v>
      </c>
      <c r="L376" s="914">
        <v>3.5</v>
      </c>
      <c r="M376" s="914">
        <v>5.4</v>
      </c>
      <c r="N376" s="914">
        <v>1.6</v>
      </c>
      <c r="O376" s="914">
        <v>4.4000000000000004</v>
      </c>
    </row>
    <row r="377" spans="1:15" ht="32.4" customHeight="1">
      <c r="A377" s="895"/>
      <c r="B377" s="990"/>
      <c r="C377" s="990"/>
      <c r="D377" s="985"/>
      <c r="E377" s="991">
        <f>SUM(E370/E354)</f>
        <v>0.2032520325203252</v>
      </c>
      <c r="F377" s="991">
        <f t="shared" ref="F377:O377" si="2">SUM(F370/F354)</f>
        <v>0.205188679245283</v>
      </c>
      <c r="G377" s="991">
        <f t="shared" si="2"/>
        <v>0.23144104803493451</v>
      </c>
      <c r="H377" s="991">
        <f t="shared" si="2"/>
        <v>0.24153498871331827</v>
      </c>
      <c r="I377" s="991">
        <f t="shared" si="2"/>
        <v>0.22602739726027396</v>
      </c>
      <c r="J377" s="991">
        <f t="shared" si="2"/>
        <v>0.26415094339622641</v>
      </c>
      <c r="K377" s="991">
        <f t="shared" si="2"/>
        <v>0.24493554327808473</v>
      </c>
      <c r="L377" s="991">
        <f t="shared" si="2"/>
        <v>0.2292768959435626</v>
      </c>
      <c r="M377" s="991">
        <f t="shared" si="2"/>
        <v>0.31019522776572667</v>
      </c>
      <c r="N377" s="991">
        <f t="shared" si="2"/>
        <v>0.35571687840290384</v>
      </c>
      <c r="O377" s="991">
        <f t="shared" si="2"/>
        <v>0.35241502683363146</v>
      </c>
    </row>
    <row r="378" spans="1:15" ht="4.5" customHeight="1">
      <c r="E378" s="962"/>
      <c r="F378" s="962"/>
      <c r="G378" s="962"/>
      <c r="H378" s="962"/>
      <c r="I378" s="962"/>
      <c r="J378" s="962"/>
      <c r="K378" s="962"/>
      <c r="L378" s="962"/>
      <c r="M378" s="962"/>
      <c r="N378" s="962"/>
      <c r="O378" s="962"/>
    </row>
    <row r="379" spans="1:15" ht="12.75" customHeight="1">
      <c r="A379" s="876" t="s">
        <v>1043</v>
      </c>
      <c r="B379" s="861" t="s">
        <v>1044</v>
      </c>
      <c r="C379" s="864"/>
      <c r="D379" s="862"/>
      <c r="E379" s="911">
        <v>221.2</v>
      </c>
      <c r="F379" s="911">
        <v>427.9</v>
      </c>
      <c r="G379" s="911">
        <v>307.10000000000002</v>
      </c>
      <c r="H379" s="911">
        <v>506.6</v>
      </c>
      <c r="I379" s="911">
        <v>366.7</v>
      </c>
      <c r="J379" s="911">
        <v>366.6</v>
      </c>
      <c r="K379" s="911">
        <v>557.9</v>
      </c>
      <c r="L379" s="911">
        <v>600.79999999999995</v>
      </c>
      <c r="M379" s="911">
        <v>581.29999999999995</v>
      </c>
      <c r="N379" s="911">
        <v>656.2</v>
      </c>
      <c r="O379" s="911">
        <v>670.6</v>
      </c>
    </row>
    <row r="380" spans="1:15" ht="4.5" customHeight="1">
      <c r="A380" s="895"/>
      <c r="B380" s="794"/>
      <c r="C380" s="794"/>
      <c r="D380" s="795"/>
      <c r="E380" s="896"/>
      <c r="F380" s="896"/>
      <c r="G380" s="896"/>
      <c r="H380" s="896"/>
      <c r="I380" s="896"/>
      <c r="J380" s="896"/>
      <c r="K380" s="896"/>
      <c r="L380" s="896"/>
      <c r="M380" s="896"/>
      <c r="N380" s="896"/>
      <c r="O380" s="896"/>
    </row>
    <row r="381" spans="1:15" ht="4.5" customHeight="1">
      <c r="I381" s="890"/>
      <c r="J381" s="890"/>
      <c r="K381" s="890"/>
      <c r="L381" s="890"/>
      <c r="M381" s="890"/>
      <c r="N381" s="890"/>
      <c r="O381" s="890"/>
    </row>
    <row r="382" spans="1:15" ht="12.75" customHeight="1">
      <c r="A382" s="981" t="s">
        <v>1408</v>
      </c>
      <c r="B382" s="861" t="s">
        <v>1045</v>
      </c>
      <c r="C382" s="861"/>
      <c r="D382" s="862"/>
      <c r="E382" s="911">
        <v>46.1</v>
      </c>
      <c r="F382" s="911">
        <v>64.7</v>
      </c>
      <c r="G382" s="911">
        <v>54</v>
      </c>
      <c r="H382" s="911">
        <v>82.2</v>
      </c>
      <c r="I382" s="911">
        <v>49.6</v>
      </c>
      <c r="J382" s="911">
        <v>35.6</v>
      </c>
      <c r="K382" s="911">
        <v>104.8</v>
      </c>
      <c r="L382" s="911">
        <v>112.4</v>
      </c>
      <c r="M382" s="911">
        <v>81.7</v>
      </c>
      <c r="N382" s="911">
        <v>79.3</v>
      </c>
      <c r="O382" s="911">
        <v>73.400000000000006</v>
      </c>
    </row>
    <row r="383" spans="1:15" ht="4.5" customHeight="1">
      <c r="I383" s="890"/>
      <c r="J383" s="890"/>
      <c r="K383" s="890"/>
      <c r="L383" s="890"/>
      <c r="M383" s="890"/>
      <c r="N383" s="890"/>
      <c r="O383" s="890"/>
    </row>
    <row r="384" spans="1:15" ht="11.1" customHeight="1">
      <c r="A384" s="982" t="s">
        <v>1409</v>
      </c>
      <c r="B384" s="913" t="s">
        <v>1410</v>
      </c>
      <c r="C384" s="913"/>
      <c r="D384" s="914"/>
      <c r="E384" s="914"/>
      <c r="F384" s="914"/>
      <c r="G384" s="914"/>
      <c r="H384" s="914"/>
      <c r="I384" s="914"/>
      <c r="J384" s="914"/>
      <c r="K384" s="914"/>
      <c r="L384" s="914"/>
      <c r="M384" s="914"/>
      <c r="N384" s="914"/>
      <c r="O384" s="914"/>
    </row>
    <row r="385" spans="1:15" ht="11.1" customHeight="1">
      <c r="A385" s="830"/>
      <c r="B385" s="913" t="s">
        <v>1411</v>
      </c>
      <c r="C385" s="913"/>
      <c r="D385" s="914"/>
      <c r="E385" s="914">
        <v>22.6</v>
      </c>
      <c r="F385" s="914">
        <v>37.1</v>
      </c>
      <c r="G385" s="914">
        <v>35.6</v>
      </c>
      <c r="H385" s="914">
        <v>63.9</v>
      </c>
      <c r="I385" s="914">
        <v>38.4</v>
      </c>
      <c r="J385" s="914">
        <v>24.3</v>
      </c>
      <c r="K385" s="914">
        <v>85.8</v>
      </c>
      <c r="L385" s="914">
        <v>93.4</v>
      </c>
      <c r="M385" s="914">
        <v>66.8</v>
      </c>
      <c r="N385" s="914">
        <v>52</v>
      </c>
      <c r="O385" s="914">
        <v>53.2</v>
      </c>
    </row>
    <row r="386" spans="1:15" ht="11.1" customHeight="1">
      <c r="A386" s="982" t="s">
        <v>1412</v>
      </c>
      <c r="B386" s="913" t="s">
        <v>1413</v>
      </c>
      <c r="C386" s="913"/>
      <c r="D386" s="914"/>
      <c r="E386" s="914">
        <v>1.7</v>
      </c>
      <c r="F386" s="914">
        <v>4</v>
      </c>
      <c r="G386" s="914">
        <v>2.2000000000000002</v>
      </c>
      <c r="H386" s="914">
        <v>4.2</v>
      </c>
      <c r="I386" s="914">
        <v>1.5</v>
      </c>
      <c r="J386" s="914">
        <v>2.1</v>
      </c>
      <c r="K386" s="914">
        <v>5.4</v>
      </c>
      <c r="L386" s="914">
        <v>6.9</v>
      </c>
      <c r="M386" s="914">
        <v>4.5999999999999996</v>
      </c>
      <c r="N386" s="914">
        <v>6.4</v>
      </c>
      <c r="O386" s="914">
        <v>6.4</v>
      </c>
    </row>
    <row r="387" spans="1:15" ht="11.1" customHeight="1">
      <c r="A387" s="982" t="s">
        <v>1414</v>
      </c>
      <c r="B387" s="913" t="s">
        <v>1415</v>
      </c>
      <c r="C387" s="913"/>
      <c r="D387" s="914"/>
      <c r="E387" s="920" t="s">
        <v>1036</v>
      </c>
      <c r="F387" s="920" t="s">
        <v>1036</v>
      </c>
      <c r="G387" s="920">
        <v>1.3</v>
      </c>
      <c r="H387" s="920">
        <v>2.1</v>
      </c>
      <c r="I387" s="920" t="s">
        <v>1035</v>
      </c>
      <c r="J387" s="920" t="s">
        <v>1036</v>
      </c>
      <c r="K387" s="920" t="s">
        <v>1036</v>
      </c>
      <c r="L387" s="920" t="s">
        <v>1036</v>
      </c>
      <c r="M387" s="920" t="s">
        <v>1036</v>
      </c>
      <c r="N387" s="920" t="s">
        <v>1036</v>
      </c>
      <c r="O387" s="920" t="s">
        <v>1036</v>
      </c>
    </row>
    <row r="388" spans="1:15" ht="4.5" customHeight="1">
      <c r="A388" s="830"/>
      <c r="B388" s="913"/>
      <c r="C388" s="913"/>
      <c r="D388" s="914"/>
      <c r="E388" s="914"/>
      <c r="F388" s="914"/>
      <c r="G388" s="914"/>
      <c r="H388" s="914"/>
      <c r="I388" s="914"/>
      <c r="J388" s="914"/>
      <c r="K388" s="914"/>
      <c r="L388" s="914"/>
      <c r="M388" s="914"/>
      <c r="N388" s="914"/>
      <c r="O388" s="914"/>
    </row>
    <row r="389" spans="1:15" ht="11.1" customHeight="1">
      <c r="A389" s="982" t="s">
        <v>1416</v>
      </c>
      <c r="B389" s="913" t="s">
        <v>1417</v>
      </c>
      <c r="C389" s="913"/>
      <c r="D389" s="914"/>
      <c r="E389" s="914">
        <v>21.7</v>
      </c>
      <c r="F389" s="914">
        <v>22.8</v>
      </c>
      <c r="G389" s="914">
        <v>15</v>
      </c>
      <c r="H389" s="914">
        <v>12</v>
      </c>
      <c r="I389" s="914">
        <v>9.6999999999999993</v>
      </c>
      <c r="J389" s="914">
        <v>7.7</v>
      </c>
      <c r="K389" s="914">
        <v>12.6</v>
      </c>
      <c r="L389" s="914">
        <v>11.1</v>
      </c>
      <c r="M389" s="914">
        <v>9.9</v>
      </c>
      <c r="N389" s="914">
        <v>17.3</v>
      </c>
      <c r="O389" s="914">
        <v>11.7</v>
      </c>
    </row>
    <row r="390" spans="1:15" ht="11.1" customHeight="1">
      <c r="A390" s="918"/>
      <c r="B390" s="918" t="s">
        <v>1418</v>
      </c>
      <c r="C390" s="918" t="s">
        <v>1419</v>
      </c>
      <c r="D390" s="917"/>
      <c r="E390" s="920" t="s">
        <v>1035</v>
      </c>
      <c r="F390" s="920" t="s">
        <v>1036</v>
      </c>
      <c r="G390" s="920" t="s">
        <v>1036</v>
      </c>
      <c r="H390" s="920" t="s">
        <v>1036</v>
      </c>
      <c r="I390" s="920" t="s">
        <v>1036</v>
      </c>
      <c r="J390" s="920" t="s">
        <v>1036</v>
      </c>
      <c r="K390" s="920">
        <v>0.7</v>
      </c>
      <c r="L390" s="914">
        <v>0.8</v>
      </c>
      <c r="M390" s="920" t="s">
        <v>1036</v>
      </c>
      <c r="N390" s="920" t="s">
        <v>1036</v>
      </c>
      <c r="O390" s="920" t="s">
        <v>1036</v>
      </c>
    </row>
    <row r="391" spans="1:15" ht="11.1" customHeight="1">
      <c r="A391" s="918"/>
      <c r="B391" s="918" t="s">
        <v>1420</v>
      </c>
      <c r="C391" s="918" t="s">
        <v>1421</v>
      </c>
      <c r="D391" s="917"/>
      <c r="E391" s="914">
        <v>21.3</v>
      </c>
      <c r="F391" s="914">
        <v>21.8</v>
      </c>
      <c r="G391" s="914">
        <v>14.2</v>
      </c>
      <c r="H391" s="914">
        <v>10.4</v>
      </c>
      <c r="I391" s="914">
        <v>8.9</v>
      </c>
      <c r="J391" s="914">
        <v>5.7</v>
      </c>
      <c r="K391" s="914">
        <v>10.3</v>
      </c>
      <c r="L391" s="914">
        <v>9.1</v>
      </c>
      <c r="M391" s="914">
        <v>8.1999999999999993</v>
      </c>
      <c r="N391" s="914">
        <v>15.9</v>
      </c>
      <c r="O391" s="914">
        <v>9.9</v>
      </c>
    </row>
    <row r="392" spans="1:15" ht="11.1" customHeight="1">
      <c r="A392" s="918"/>
      <c r="B392" s="918" t="s">
        <v>1422</v>
      </c>
      <c r="C392" s="918" t="s">
        <v>1423</v>
      </c>
      <c r="D392" s="917"/>
      <c r="E392" s="914"/>
      <c r="F392" s="914"/>
      <c r="G392" s="914"/>
      <c r="H392" s="914"/>
      <c r="I392" s="914"/>
      <c r="J392" s="914"/>
      <c r="K392" s="914"/>
      <c r="L392" s="914"/>
      <c r="M392" s="914"/>
      <c r="N392" s="914"/>
      <c r="O392" s="914"/>
    </row>
    <row r="393" spans="1:15" ht="11.1" customHeight="1">
      <c r="A393" s="918"/>
      <c r="B393" s="918"/>
      <c r="C393" s="918" t="s">
        <v>1424</v>
      </c>
      <c r="D393" s="917"/>
      <c r="E393" s="919">
        <v>0.3</v>
      </c>
      <c r="F393" s="914">
        <v>0.8</v>
      </c>
      <c r="G393" s="914">
        <v>0.7</v>
      </c>
      <c r="H393" s="914">
        <v>1.3</v>
      </c>
      <c r="I393" s="919">
        <v>0.6</v>
      </c>
      <c r="J393" s="919">
        <v>2</v>
      </c>
      <c r="K393" s="914">
        <v>1.6</v>
      </c>
      <c r="L393" s="914">
        <v>1.1000000000000001</v>
      </c>
      <c r="M393" s="919">
        <v>1.6</v>
      </c>
      <c r="N393" s="914">
        <v>0.9</v>
      </c>
      <c r="O393" s="919">
        <v>1.5</v>
      </c>
    </row>
    <row r="394" spans="1:15" ht="4.5" customHeight="1">
      <c r="A394" s="895"/>
      <c r="B394" s="794"/>
      <c r="C394" s="794"/>
      <c r="D394" s="795"/>
      <c r="E394" s="896"/>
      <c r="F394" s="896"/>
      <c r="G394" s="896"/>
      <c r="H394" s="896"/>
      <c r="I394" s="896"/>
      <c r="J394" s="896"/>
      <c r="K394" s="896"/>
      <c r="L394" s="896"/>
      <c r="M394" s="896"/>
      <c r="N394" s="896"/>
      <c r="O394" s="896"/>
    </row>
    <row r="395" spans="1:15" ht="4.5" customHeight="1">
      <c r="I395" s="890"/>
      <c r="J395" s="890"/>
      <c r="K395" s="890"/>
      <c r="L395" s="890"/>
      <c r="M395" s="890"/>
      <c r="N395" s="890"/>
      <c r="O395" s="890"/>
    </row>
    <row r="396" spans="1:15" ht="12.75" customHeight="1">
      <c r="A396" s="861" t="s">
        <v>1425</v>
      </c>
      <c r="B396" s="862"/>
      <c r="C396" s="861"/>
      <c r="D396" s="862"/>
      <c r="E396" s="911">
        <v>267.3</v>
      </c>
      <c r="F396" s="911">
        <v>492.6</v>
      </c>
      <c r="G396" s="911">
        <v>361.1</v>
      </c>
      <c r="H396" s="911">
        <v>588.79999999999995</v>
      </c>
      <c r="I396" s="911">
        <v>416.3</v>
      </c>
      <c r="J396" s="911">
        <v>402.2</v>
      </c>
      <c r="K396" s="911">
        <v>662.7</v>
      </c>
      <c r="L396" s="911">
        <v>713.2</v>
      </c>
      <c r="M396" s="911">
        <v>663.1</v>
      </c>
      <c r="N396" s="911">
        <v>735.5</v>
      </c>
      <c r="O396" s="911">
        <v>744</v>
      </c>
    </row>
    <row r="397" spans="1:15" ht="4.5" customHeight="1">
      <c r="A397" s="895"/>
      <c r="B397" s="794"/>
      <c r="C397" s="794"/>
      <c r="D397" s="795"/>
      <c r="E397" s="896"/>
      <c r="F397" s="896"/>
      <c r="G397" s="896"/>
      <c r="H397" s="896"/>
      <c r="I397" s="896"/>
      <c r="J397" s="896"/>
      <c r="K397" s="896"/>
      <c r="L397" s="896"/>
      <c r="M397" s="896"/>
      <c r="N397" s="896"/>
      <c r="O397" s="896"/>
    </row>
    <row r="398" spans="1:15" ht="4.5" customHeight="1">
      <c r="I398" s="890"/>
      <c r="J398" s="890"/>
      <c r="K398" s="890"/>
      <c r="L398" s="890"/>
      <c r="M398" s="890"/>
      <c r="N398" s="890"/>
      <c r="O398" s="890"/>
    </row>
    <row r="399" spans="1:15" ht="12.75" customHeight="1">
      <c r="A399" s="981" t="s">
        <v>1426</v>
      </c>
      <c r="B399" s="861" t="s">
        <v>1427</v>
      </c>
      <c r="C399" s="861"/>
      <c r="D399" s="862"/>
      <c r="E399" s="862"/>
      <c r="F399" s="862"/>
      <c r="G399" s="862"/>
      <c r="H399" s="862"/>
      <c r="I399" s="862"/>
      <c r="J399" s="862"/>
      <c r="K399" s="862"/>
      <c r="L399" s="862"/>
      <c r="M399" s="862"/>
      <c r="N399" s="862"/>
      <c r="O399" s="862"/>
    </row>
    <row r="400" spans="1:15" ht="4.5" customHeight="1">
      <c r="A400" s="913"/>
      <c r="B400" s="913"/>
      <c r="C400" s="913"/>
      <c r="D400" s="914"/>
      <c r="E400" s="914"/>
      <c r="F400" s="914"/>
      <c r="G400" s="914"/>
      <c r="H400" s="914"/>
      <c r="I400" s="914"/>
      <c r="J400" s="914"/>
      <c r="K400" s="914"/>
      <c r="L400" s="914"/>
      <c r="M400" s="914"/>
      <c r="N400" s="914"/>
      <c r="O400" s="914"/>
    </row>
    <row r="401" spans="1:15" ht="11.1" customHeight="1">
      <c r="A401" s="982" t="s">
        <v>1428</v>
      </c>
      <c r="B401" s="913" t="s">
        <v>1429</v>
      </c>
      <c r="C401" s="913"/>
      <c r="D401" s="914"/>
      <c r="E401" s="914">
        <v>2</v>
      </c>
      <c r="F401" s="914">
        <v>7.1</v>
      </c>
      <c r="G401" s="914">
        <v>27.3</v>
      </c>
      <c r="H401" s="914">
        <v>51</v>
      </c>
      <c r="I401" s="914">
        <v>17.5</v>
      </c>
      <c r="J401" s="914">
        <v>11.2</v>
      </c>
      <c r="K401" s="914">
        <v>59.1</v>
      </c>
      <c r="L401" s="914">
        <v>66.099999999999994</v>
      </c>
      <c r="M401" s="914">
        <v>49.2</v>
      </c>
      <c r="N401" s="914">
        <v>58.2</v>
      </c>
      <c r="O401" s="914">
        <v>53</v>
      </c>
    </row>
    <row r="402" spans="1:15" ht="11.1" customHeight="1">
      <c r="A402" s="982" t="s">
        <v>1430</v>
      </c>
      <c r="B402" s="913" t="s">
        <v>1431</v>
      </c>
      <c r="C402" s="913"/>
      <c r="D402" s="914"/>
      <c r="E402" s="914">
        <v>1.5</v>
      </c>
      <c r="F402" s="914">
        <v>2.5</v>
      </c>
      <c r="G402" s="914">
        <v>1.3</v>
      </c>
      <c r="H402" s="914">
        <v>3.1</v>
      </c>
      <c r="I402" s="914">
        <v>1.6</v>
      </c>
      <c r="J402" s="919">
        <v>0.8</v>
      </c>
      <c r="K402" s="914">
        <v>2.4</v>
      </c>
      <c r="L402" s="914">
        <v>3.1</v>
      </c>
      <c r="M402" s="914">
        <v>2</v>
      </c>
      <c r="N402" s="914">
        <v>3.4</v>
      </c>
      <c r="O402" s="914">
        <v>2.1</v>
      </c>
    </row>
    <row r="403" spans="1:15" ht="11.1" customHeight="1">
      <c r="A403" s="982" t="s">
        <v>1432</v>
      </c>
      <c r="B403" s="913" t="s">
        <v>1433</v>
      </c>
      <c r="C403" s="913"/>
      <c r="D403" s="914"/>
      <c r="E403" s="914">
        <v>22.6</v>
      </c>
      <c r="F403" s="914">
        <v>62.8</v>
      </c>
      <c r="G403" s="914">
        <v>78.7</v>
      </c>
      <c r="H403" s="914">
        <v>140.69999999999999</v>
      </c>
      <c r="I403" s="914">
        <v>54.5</v>
      </c>
      <c r="J403" s="914">
        <v>28.7</v>
      </c>
      <c r="K403" s="914">
        <v>158.4</v>
      </c>
      <c r="L403" s="914">
        <v>204</v>
      </c>
      <c r="M403" s="914">
        <v>164.2</v>
      </c>
      <c r="N403" s="914">
        <v>157.9</v>
      </c>
      <c r="O403" s="914">
        <v>169.6</v>
      </c>
    </row>
    <row r="404" spans="1:15" ht="11.1" customHeight="1">
      <c r="A404" s="982" t="s">
        <v>1434</v>
      </c>
      <c r="B404" s="913" t="s">
        <v>1435</v>
      </c>
      <c r="C404" s="913"/>
      <c r="D404" s="914"/>
      <c r="E404" s="844">
        <v>0.1</v>
      </c>
      <c r="F404" s="914">
        <v>3.1</v>
      </c>
      <c r="G404" s="914">
        <v>30.6</v>
      </c>
      <c r="H404" s="914">
        <v>59.6</v>
      </c>
      <c r="I404" s="914">
        <v>24</v>
      </c>
      <c r="J404" s="914">
        <v>14.3</v>
      </c>
      <c r="K404" s="914">
        <v>70.900000000000006</v>
      </c>
      <c r="L404" s="914">
        <v>81.099999999999994</v>
      </c>
      <c r="M404" s="914">
        <v>51.8</v>
      </c>
      <c r="N404" s="914">
        <v>71.599999999999994</v>
      </c>
      <c r="O404" s="914">
        <v>71.599999999999994</v>
      </c>
    </row>
    <row r="405" spans="1:15" ht="11.1" customHeight="1">
      <c r="A405" s="982" t="s">
        <v>1436</v>
      </c>
      <c r="B405" s="913" t="s">
        <v>1437</v>
      </c>
      <c r="C405" s="913"/>
      <c r="D405" s="914"/>
      <c r="E405" s="914">
        <v>13.5</v>
      </c>
      <c r="F405" s="914">
        <v>49.1</v>
      </c>
      <c r="G405" s="914">
        <v>47.1</v>
      </c>
      <c r="H405" s="914">
        <v>80.2</v>
      </c>
      <c r="I405" s="914">
        <v>35.4</v>
      </c>
      <c r="J405" s="914">
        <v>13.4</v>
      </c>
      <c r="K405" s="914">
        <v>93.3</v>
      </c>
      <c r="L405" s="914">
        <v>156.69999999999999</v>
      </c>
      <c r="M405" s="914">
        <v>104.3</v>
      </c>
      <c r="N405" s="914">
        <v>95.8</v>
      </c>
      <c r="O405" s="914">
        <v>159.19999999999999</v>
      </c>
    </row>
    <row r="406" spans="1:15" ht="11.1" customHeight="1">
      <c r="A406" s="982" t="s">
        <v>1438</v>
      </c>
      <c r="B406" s="913" t="s">
        <v>1439</v>
      </c>
      <c r="C406" s="913"/>
      <c r="D406" s="914"/>
      <c r="E406" s="914">
        <v>3</v>
      </c>
      <c r="F406" s="914">
        <v>1.5</v>
      </c>
      <c r="G406" s="914">
        <v>2.9</v>
      </c>
      <c r="H406" s="914">
        <v>5.3</v>
      </c>
      <c r="I406" s="919">
        <v>3</v>
      </c>
      <c r="J406" s="919">
        <v>3.9</v>
      </c>
      <c r="K406" s="914">
        <v>5.0999999999999996</v>
      </c>
      <c r="L406" s="914">
        <v>6</v>
      </c>
      <c r="M406" s="844">
        <v>7.7</v>
      </c>
      <c r="N406" s="914">
        <v>6.7</v>
      </c>
      <c r="O406" s="844">
        <v>2.2000000000000002</v>
      </c>
    </row>
    <row r="407" spans="1:15" ht="11.1" customHeight="1">
      <c r="A407" s="982" t="s">
        <v>1440</v>
      </c>
      <c r="B407" s="913" t="s">
        <v>1441</v>
      </c>
      <c r="C407" s="913"/>
      <c r="D407" s="914"/>
      <c r="E407" s="844" t="s">
        <v>1036</v>
      </c>
      <c r="F407" s="844" t="s">
        <v>1036</v>
      </c>
      <c r="G407" s="844">
        <v>1.6</v>
      </c>
      <c r="H407" s="844">
        <v>1.9</v>
      </c>
      <c r="I407" s="844" t="s">
        <v>1036</v>
      </c>
      <c r="J407" s="844" t="s">
        <v>1036</v>
      </c>
      <c r="K407" s="844">
        <v>3.4</v>
      </c>
      <c r="L407" s="844">
        <v>4.4000000000000004</v>
      </c>
      <c r="M407" s="919">
        <v>3</v>
      </c>
      <c r="N407" s="914">
        <v>2.6</v>
      </c>
      <c r="O407" s="844" t="s">
        <v>1036</v>
      </c>
    </row>
    <row r="408" spans="1:15" ht="11.1" customHeight="1">
      <c r="A408" s="982" t="s">
        <v>1442</v>
      </c>
      <c r="B408" s="913" t="s">
        <v>1443</v>
      </c>
      <c r="C408" s="913"/>
      <c r="D408" s="914"/>
      <c r="E408" s="920">
        <v>0.1</v>
      </c>
      <c r="F408" s="844">
        <v>0.4</v>
      </c>
      <c r="G408" s="919">
        <v>0.1</v>
      </c>
      <c r="H408" s="919">
        <v>0.2</v>
      </c>
      <c r="I408" s="844" t="s">
        <v>1036</v>
      </c>
      <c r="J408" s="844" t="s">
        <v>1035</v>
      </c>
      <c r="K408" s="844" t="s">
        <v>1036</v>
      </c>
      <c r="L408" s="844" t="s">
        <v>1036</v>
      </c>
      <c r="M408" s="844" t="s">
        <v>1036</v>
      </c>
      <c r="N408" s="844" t="s">
        <v>1036</v>
      </c>
      <c r="O408" s="844" t="s">
        <v>1036</v>
      </c>
    </row>
    <row r="409" spans="1:15" ht="4.5" customHeight="1">
      <c r="A409" s="895"/>
      <c r="B409" s="794"/>
      <c r="C409" s="794"/>
      <c r="D409" s="795"/>
      <c r="E409" s="934"/>
      <c r="F409" s="934"/>
      <c r="G409" s="934"/>
      <c r="H409" s="934"/>
      <c r="I409" s="934"/>
      <c r="J409" s="934"/>
      <c r="K409" s="934"/>
      <c r="L409" s="934"/>
      <c r="M409" s="934"/>
      <c r="N409" s="934"/>
      <c r="O409" s="934"/>
    </row>
    <row r="410" spans="1:15" ht="4.5" customHeight="1">
      <c r="E410" s="914"/>
      <c r="F410" s="914"/>
      <c r="G410" s="914"/>
      <c r="H410" s="914"/>
      <c r="I410" s="890"/>
      <c r="J410" s="890"/>
      <c r="K410" s="890"/>
      <c r="L410" s="890"/>
      <c r="M410" s="890"/>
    </row>
    <row r="411" spans="1:15" ht="11.1" customHeight="1">
      <c r="A411" s="850" t="s">
        <v>1047</v>
      </c>
      <c r="B411" s="913"/>
      <c r="C411" s="913"/>
      <c r="D411" s="914"/>
      <c r="E411" s="914"/>
      <c r="F411" s="914"/>
      <c r="I411" s="914"/>
      <c r="J411" s="914"/>
      <c r="K411" s="914"/>
      <c r="L411" s="890"/>
      <c r="M411" s="890"/>
    </row>
    <row r="412" spans="1:15" ht="11.1" customHeight="1">
      <c r="A412" s="850" t="s">
        <v>1137</v>
      </c>
      <c r="B412" s="913"/>
      <c r="C412" s="913"/>
      <c r="D412" s="914"/>
      <c r="E412" s="914"/>
      <c r="F412" s="914"/>
      <c r="I412" s="914"/>
      <c r="J412" s="914"/>
      <c r="K412" s="914"/>
      <c r="L412" s="890"/>
      <c r="M412" s="890"/>
    </row>
    <row r="413" spans="1:15" ht="11.1" customHeight="1">
      <c r="A413" s="845" t="s">
        <v>1048</v>
      </c>
      <c r="B413" s="913"/>
      <c r="C413" s="913"/>
      <c r="D413" s="914"/>
      <c r="E413" s="914"/>
      <c r="F413" s="914"/>
      <c r="I413" s="914"/>
      <c r="J413" s="914"/>
      <c r="K413" s="914"/>
      <c r="L413" s="890"/>
      <c r="M413" s="890"/>
    </row>
    <row r="414" spans="1:15" ht="11.1" customHeight="1">
      <c r="A414" s="883" t="s">
        <v>1444</v>
      </c>
      <c r="I414" s="890"/>
      <c r="J414" s="890"/>
      <c r="K414" s="890"/>
      <c r="L414" s="890"/>
      <c r="M414" s="890"/>
    </row>
    <row r="415" spans="1:15" ht="11.1" customHeight="1">
      <c r="A415" s="883" t="s">
        <v>1445</v>
      </c>
    </row>
    <row r="416" spans="1:15" ht="11.1" customHeight="1">
      <c r="A416" s="883" t="s">
        <v>1446</v>
      </c>
    </row>
    <row r="417" spans="1:1" ht="11.1" customHeight="1">
      <c r="A417" s="883" t="s">
        <v>1447</v>
      </c>
    </row>
    <row r="418" spans="1:1" ht="11.1" customHeight="1">
      <c r="A418" s="807"/>
    </row>
    <row r="420" spans="1:1" ht="11.1" customHeight="1">
      <c r="A420" s="983" t="s">
        <v>1051</v>
      </c>
    </row>
  </sheetData>
  <sheetProtection algorithmName="SHA-512" hashValue="fyC3eSSXgIX5GjOVqXaN198P4G0gO9vLxbBiKz7qYl+ua6cQHOBRhZc6PVrXrmHiEI3hUPiDhPG2RpMZEtdZpQ==" saltValue="dk826CmAipOLp9poWYCLQA==" spinCount="100000" sheet="1" objects="1" scenarios="1"/>
  <mergeCells count="8">
    <mergeCell ref="E263:M263"/>
    <mergeCell ref="E351:M351"/>
    <mergeCell ref="E6:F6"/>
    <mergeCell ref="G6:H6"/>
    <mergeCell ref="I6:O6"/>
    <mergeCell ref="E23:M23"/>
    <mergeCell ref="E102:M102"/>
    <mergeCell ref="E180:M180"/>
  </mergeCells>
  <pageMargins left="0.75" right="0.75" top="1" bottom="1" header="0.5" footer="0.5"/>
  <pageSetup paperSize="9" orientation="portrait" r:id="rId1"/>
  <rowBreaks count="5" manualBreakCount="5">
    <brk id="85" max="9" man="1"/>
    <brk id="164" max="9" man="1"/>
    <brk id="248" max="16383" man="1"/>
    <brk id="334" max="9" man="1"/>
    <brk id="418"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E951-FB6C-4497-9372-B20D6F958E9B}">
  <dimension ref="A1:O420"/>
  <sheetViews>
    <sheetView topLeftCell="Q89" workbookViewId="0">
      <selection activeCell="AG122" sqref="AG122"/>
    </sheetView>
  </sheetViews>
  <sheetFormatPr defaultColWidth="8.6640625" defaultRowHeight="11.1" customHeight="1"/>
  <cols>
    <col min="1" max="1" width="3.88671875" style="887" hidden="1" customWidth="1"/>
    <col min="2" max="2" width="3.88671875" style="807" hidden="1" customWidth="1"/>
    <col min="3" max="3" width="4.6640625" style="807" hidden="1" customWidth="1"/>
    <col min="4" max="4" width="28.109375" style="798" hidden="1" customWidth="1"/>
    <col min="5" max="5" width="6.109375" style="890" hidden="1" customWidth="1"/>
    <col min="6" max="8" width="6.6640625" style="890" hidden="1" customWidth="1"/>
    <col min="9" max="13" width="6.6640625" style="798" hidden="1" customWidth="1"/>
    <col min="14" max="16" width="0" style="798" hidden="1" customWidth="1"/>
    <col min="17" max="16384" width="8.6640625" style="798"/>
  </cols>
  <sheetData>
    <row r="1" spans="1:15" ht="15.75" customHeight="1">
      <c r="A1" s="782" t="s">
        <v>919</v>
      </c>
      <c r="B1" s="782"/>
    </row>
    <row r="2" spans="1:15" s="789" customFormat="1" ht="15.75" customHeight="1">
      <c r="A2" s="782" t="s">
        <v>1052</v>
      </c>
      <c r="B2" s="891"/>
      <c r="C2" s="784"/>
      <c r="E2" s="892"/>
      <c r="F2" s="892"/>
      <c r="G2" s="892"/>
      <c r="H2" s="893"/>
    </row>
    <row r="3" spans="1:15" s="789" customFormat="1" ht="15.75" customHeight="1">
      <c r="A3" s="792" t="s">
        <v>1053</v>
      </c>
      <c r="B3" s="894"/>
      <c r="C3" s="870"/>
      <c r="D3" s="793"/>
      <c r="E3" s="892"/>
      <c r="F3" s="892"/>
      <c r="G3" s="892"/>
      <c r="H3" s="893"/>
    </row>
    <row r="4" spans="1:15" ht="3.75" customHeight="1">
      <c r="A4" s="895"/>
      <c r="B4" s="794"/>
      <c r="C4" s="794"/>
      <c r="D4" s="795"/>
      <c r="E4" s="896"/>
      <c r="F4" s="896"/>
      <c r="G4" s="896"/>
      <c r="H4" s="896"/>
      <c r="I4" s="897"/>
      <c r="J4" s="795"/>
      <c r="K4" s="897"/>
      <c r="L4" s="795"/>
      <c r="M4" s="897"/>
    </row>
    <row r="5" spans="1:15" s="801" customFormat="1" ht="3" customHeight="1">
      <c r="A5" s="898"/>
      <c r="B5" s="800"/>
      <c r="C5" s="800"/>
      <c r="E5" s="899"/>
      <c r="F5" s="899"/>
      <c r="G5" s="899"/>
      <c r="H5" s="899"/>
      <c r="J5" s="899"/>
      <c r="L5" s="899"/>
      <c r="N5" s="900"/>
      <c r="O5" s="900"/>
    </row>
    <row r="6" spans="1:15" s="901" customFormat="1" ht="12" customHeight="1">
      <c r="A6" s="799"/>
      <c r="B6" s="800"/>
      <c r="C6" s="801"/>
      <c r="D6" s="801"/>
      <c r="E6" s="805" t="s">
        <v>912</v>
      </c>
      <c r="F6" s="805"/>
      <c r="G6" s="805" t="s">
        <v>146</v>
      </c>
      <c r="H6" s="806"/>
      <c r="I6" s="805" t="s">
        <v>913</v>
      </c>
      <c r="J6" s="805"/>
      <c r="K6" s="805"/>
      <c r="L6" s="805"/>
      <c r="M6" s="805"/>
      <c r="N6" s="805"/>
      <c r="O6" s="805"/>
    </row>
    <row r="7" spans="1:15" s="901" customFormat="1" ht="12" customHeight="1">
      <c r="A7" s="807"/>
      <c r="B7" s="807"/>
      <c r="C7" s="808"/>
      <c r="D7" s="808"/>
      <c r="E7" s="805"/>
      <c r="F7" s="806"/>
      <c r="G7" s="817" t="s">
        <v>929</v>
      </c>
      <c r="H7" s="813" t="s">
        <v>931</v>
      </c>
      <c r="I7" s="805" t="s">
        <v>922</v>
      </c>
      <c r="J7" s="902"/>
      <c r="K7" s="805" t="s">
        <v>923</v>
      </c>
      <c r="L7" s="902"/>
      <c r="M7" s="806"/>
      <c r="N7" s="903" t="s">
        <v>924</v>
      </c>
      <c r="O7" s="806"/>
    </row>
    <row r="8" spans="1:15" s="901" customFormat="1" ht="12" customHeight="1">
      <c r="A8" s="904"/>
      <c r="B8" s="904"/>
      <c r="C8" s="816"/>
      <c r="D8" s="816"/>
      <c r="E8" s="817" t="s">
        <v>929</v>
      </c>
      <c r="F8" s="817" t="s">
        <v>930</v>
      </c>
      <c r="G8" s="813" t="s">
        <v>935</v>
      </c>
      <c r="H8" s="813" t="s">
        <v>936</v>
      </c>
      <c r="I8" s="817" t="s">
        <v>932</v>
      </c>
      <c r="J8" s="820" t="s">
        <v>932</v>
      </c>
      <c r="K8" s="813" t="s">
        <v>932</v>
      </c>
      <c r="L8" s="820" t="s">
        <v>932</v>
      </c>
      <c r="M8" s="820" t="s">
        <v>932</v>
      </c>
      <c r="N8" s="820" t="s">
        <v>933</v>
      </c>
      <c r="O8" s="820" t="s">
        <v>932</v>
      </c>
    </row>
    <row r="9" spans="1:15" s="901" customFormat="1" ht="12" customHeight="1">
      <c r="A9" s="904"/>
      <c r="B9" s="904"/>
      <c r="C9" s="816"/>
      <c r="D9" s="816"/>
      <c r="E9" s="813" t="s">
        <v>935</v>
      </c>
      <c r="F9" s="817" t="s">
        <v>936</v>
      </c>
      <c r="G9" s="813" t="s">
        <v>26</v>
      </c>
      <c r="H9" s="813"/>
      <c r="I9" s="817" t="s">
        <v>937</v>
      </c>
      <c r="J9" s="817" t="s">
        <v>938</v>
      </c>
      <c r="K9" s="817" t="s">
        <v>937</v>
      </c>
      <c r="L9" s="817" t="s">
        <v>938</v>
      </c>
      <c r="M9" s="817" t="s">
        <v>939</v>
      </c>
      <c r="N9" s="817" t="s">
        <v>940</v>
      </c>
      <c r="O9" s="817" t="s">
        <v>940</v>
      </c>
    </row>
    <row r="10" spans="1:15" s="901" customFormat="1" ht="12" customHeight="1">
      <c r="A10" s="904"/>
      <c r="B10" s="904"/>
      <c r="C10" s="816"/>
      <c r="D10" s="816"/>
      <c r="E10" s="793"/>
      <c r="F10" s="817"/>
      <c r="G10" s="793"/>
      <c r="H10" s="793"/>
      <c r="I10" s="817" t="s">
        <v>941</v>
      </c>
      <c r="J10" s="817" t="s">
        <v>942</v>
      </c>
      <c r="K10" s="817" t="s">
        <v>941</v>
      </c>
      <c r="L10" s="817" t="s">
        <v>940</v>
      </c>
      <c r="M10" s="817" t="s">
        <v>942</v>
      </c>
      <c r="N10" s="813"/>
      <c r="O10" s="813"/>
    </row>
    <row r="11" spans="1:15" s="901" customFormat="1" ht="12" customHeight="1">
      <c r="A11" s="821"/>
      <c r="B11" s="821"/>
      <c r="C11" s="821"/>
      <c r="D11" s="821"/>
      <c r="E11" s="822"/>
      <c r="F11" s="822"/>
      <c r="G11" s="822"/>
      <c r="H11" s="822"/>
      <c r="I11" s="793"/>
      <c r="J11" s="817" t="s">
        <v>940</v>
      </c>
      <c r="K11" s="793"/>
      <c r="L11" s="793"/>
      <c r="M11" s="817" t="s">
        <v>940</v>
      </c>
      <c r="N11" s="793"/>
      <c r="O11" s="793"/>
    </row>
    <row r="12" spans="1:15" s="901" customFormat="1" ht="6" customHeight="1">
      <c r="A12" s="794"/>
      <c r="B12" s="794"/>
      <c r="C12" s="795"/>
      <c r="D12" s="795"/>
      <c r="E12" s="796"/>
      <c r="F12" s="796"/>
      <c r="G12" s="796"/>
      <c r="H12" s="796"/>
      <c r="I12" s="796"/>
      <c r="J12" s="795"/>
      <c r="K12" s="795"/>
      <c r="L12" s="796"/>
      <c r="M12" s="796"/>
      <c r="N12" s="796"/>
      <c r="O12" s="796"/>
    </row>
    <row r="13" spans="1:15" s="901" customFormat="1" ht="3" customHeight="1">
      <c r="A13" s="905"/>
      <c r="G13" s="901" t="s">
        <v>26</v>
      </c>
    </row>
    <row r="14" spans="1:15" ht="3" customHeight="1">
      <c r="B14" s="821"/>
      <c r="C14" s="821"/>
      <c r="D14" s="816"/>
      <c r="E14" s="828"/>
      <c r="F14" s="828"/>
      <c r="G14" s="828"/>
      <c r="H14" s="828"/>
      <c r="I14" s="828"/>
      <c r="J14" s="901"/>
      <c r="K14" s="828"/>
      <c r="L14" s="901"/>
      <c r="M14" s="828"/>
    </row>
    <row r="15" spans="1:15" ht="12" customHeight="1">
      <c r="A15" s="887" t="s">
        <v>1025</v>
      </c>
      <c r="B15" s="821"/>
      <c r="C15" s="821"/>
      <c r="D15" s="816"/>
      <c r="E15" s="823">
        <v>3540</v>
      </c>
      <c r="F15" s="823">
        <v>3240</v>
      </c>
      <c r="G15" s="823">
        <v>4750</v>
      </c>
      <c r="H15" s="823">
        <v>6340</v>
      </c>
      <c r="I15" s="823">
        <v>550</v>
      </c>
      <c r="J15" s="823">
        <v>630</v>
      </c>
      <c r="K15" s="823">
        <v>2050</v>
      </c>
      <c r="L15" s="823">
        <v>2530</v>
      </c>
      <c r="M15" s="823">
        <v>1030</v>
      </c>
      <c r="N15" s="823">
        <v>2470</v>
      </c>
      <c r="O15" s="823">
        <v>1060</v>
      </c>
    </row>
    <row r="16" spans="1:15" s="827" customFormat="1" ht="12" customHeight="1">
      <c r="A16" s="906" t="s">
        <v>1026</v>
      </c>
      <c r="B16" s="825"/>
      <c r="C16" s="825"/>
      <c r="D16" s="826"/>
      <c r="E16" s="823">
        <v>610</v>
      </c>
      <c r="F16" s="823">
        <v>810</v>
      </c>
      <c r="G16" s="823">
        <v>910</v>
      </c>
      <c r="H16" s="823">
        <v>1290</v>
      </c>
      <c r="I16" s="823">
        <v>110</v>
      </c>
      <c r="J16" s="823">
        <v>100</v>
      </c>
      <c r="K16" s="823">
        <v>370</v>
      </c>
      <c r="L16" s="823">
        <v>460</v>
      </c>
      <c r="M16" s="823">
        <v>140</v>
      </c>
      <c r="N16" s="823">
        <v>420</v>
      </c>
      <c r="O16" s="823">
        <v>180</v>
      </c>
    </row>
    <row r="17" spans="1:15" s="827" customFormat="1" ht="12" customHeight="1">
      <c r="A17" s="906" t="s">
        <v>1027</v>
      </c>
      <c r="B17" s="825"/>
      <c r="C17" s="825"/>
      <c r="D17" s="826"/>
      <c r="E17" s="823">
        <v>610</v>
      </c>
      <c r="F17" s="823">
        <v>1610</v>
      </c>
      <c r="G17" s="823">
        <v>910</v>
      </c>
      <c r="H17" s="823">
        <v>2590</v>
      </c>
      <c r="I17" s="823">
        <v>220</v>
      </c>
      <c r="J17" s="823">
        <v>340</v>
      </c>
      <c r="K17" s="823">
        <v>1100</v>
      </c>
      <c r="L17" s="823">
        <v>1840</v>
      </c>
      <c r="M17" s="823">
        <v>750</v>
      </c>
      <c r="N17" s="823">
        <v>1430</v>
      </c>
      <c r="O17" s="823">
        <v>850</v>
      </c>
    </row>
    <row r="18" spans="1:15" s="827" customFormat="1" ht="12" customHeight="1">
      <c r="A18" s="906" t="s">
        <v>1028</v>
      </c>
      <c r="B18" s="825"/>
      <c r="C18" s="825"/>
      <c r="D18" s="826"/>
      <c r="E18" s="823">
        <v>610</v>
      </c>
      <c r="F18" s="823">
        <v>1610</v>
      </c>
      <c r="G18" s="823">
        <v>910</v>
      </c>
      <c r="H18" s="823">
        <v>2590</v>
      </c>
      <c r="I18" s="823">
        <v>110</v>
      </c>
      <c r="J18" s="823">
        <v>100</v>
      </c>
      <c r="K18" s="823">
        <v>730</v>
      </c>
      <c r="L18" s="823">
        <v>920</v>
      </c>
      <c r="M18" s="823">
        <v>290</v>
      </c>
      <c r="N18" s="823">
        <v>1430</v>
      </c>
      <c r="O18" s="823">
        <v>590</v>
      </c>
    </row>
    <row r="19" spans="1:15" ht="3" customHeight="1">
      <c r="B19" s="821"/>
      <c r="C19" s="821"/>
      <c r="D19" s="816"/>
      <c r="E19" s="828"/>
      <c r="F19" s="828"/>
      <c r="G19" s="828"/>
      <c r="H19" s="828"/>
      <c r="I19" s="828"/>
      <c r="J19" s="828"/>
      <c r="K19" s="828"/>
      <c r="L19" s="828"/>
      <c r="M19" s="828"/>
      <c r="N19" s="828"/>
      <c r="O19" s="828"/>
    </row>
    <row r="20" spans="1:15" s="832" customFormat="1" ht="12" customHeight="1">
      <c r="A20" s="887" t="s">
        <v>1029</v>
      </c>
      <c r="B20" s="831"/>
      <c r="C20" s="831"/>
      <c r="D20" s="829"/>
      <c r="E20" s="907">
        <v>1</v>
      </c>
      <c r="F20" s="907">
        <v>2</v>
      </c>
      <c r="G20" s="907">
        <v>1</v>
      </c>
      <c r="H20" s="907">
        <v>2</v>
      </c>
      <c r="I20" s="907">
        <v>2</v>
      </c>
      <c r="J20" s="907">
        <v>3.4</v>
      </c>
      <c r="K20" s="907">
        <v>3</v>
      </c>
      <c r="L20" s="907">
        <v>4</v>
      </c>
      <c r="M20" s="907">
        <v>5.3</v>
      </c>
      <c r="N20" s="907">
        <v>3.5</v>
      </c>
      <c r="O20" s="907">
        <v>4.9000000000000004</v>
      </c>
    </row>
    <row r="21" spans="1:15" ht="3" customHeight="1">
      <c r="A21" s="895"/>
      <c r="B21" s="794"/>
      <c r="C21" s="794"/>
      <c r="D21" s="795"/>
      <c r="E21" s="896"/>
      <c r="F21" s="896"/>
      <c r="G21" s="896"/>
      <c r="H21" s="896"/>
      <c r="I21" s="896"/>
      <c r="J21" s="896"/>
      <c r="K21" s="896"/>
      <c r="L21" s="896"/>
      <c r="M21" s="896"/>
    </row>
    <row r="22" spans="1:15" ht="3" customHeight="1">
      <c r="B22" s="821"/>
      <c r="C22" s="821"/>
      <c r="D22" s="816"/>
      <c r="E22" s="828"/>
      <c r="F22" s="828"/>
      <c r="G22" s="828"/>
      <c r="H22" s="828"/>
      <c r="I22" s="828"/>
      <c r="J22" s="828"/>
      <c r="K22" s="828"/>
      <c r="L22" s="828"/>
      <c r="M22" s="828"/>
      <c r="N22" s="908"/>
      <c r="O22" s="908"/>
    </row>
    <row r="23" spans="1:15" s="834" customFormat="1" ht="12.75" customHeight="1">
      <c r="A23" s="909" t="s">
        <v>1030</v>
      </c>
      <c r="D23" s="835"/>
      <c r="E23" s="1335" t="s">
        <v>1031</v>
      </c>
      <c r="F23" s="1335"/>
      <c r="G23" s="1335"/>
      <c r="H23" s="1335"/>
      <c r="I23" s="1335"/>
      <c r="J23" s="1335"/>
      <c r="K23" s="1335"/>
      <c r="L23" s="1335"/>
      <c r="M23" s="1335"/>
    </row>
    <row r="24" spans="1:15" ht="3" customHeight="1">
      <c r="A24" s="895"/>
      <c r="B24" s="795"/>
      <c r="C24" s="795"/>
      <c r="D24" s="795"/>
      <c r="E24" s="896"/>
      <c r="F24" s="896"/>
      <c r="G24" s="896"/>
      <c r="H24" s="896"/>
      <c r="I24" s="896"/>
      <c r="J24" s="896"/>
      <c r="K24" s="896"/>
      <c r="L24" s="896"/>
      <c r="M24" s="896"/>
      <c r="N24" s="795"/>
      <c r="O24" s="795"/>
    </row>
    <row r="25" spans="1:15" ht="3" customHeight="1">
      <c r="I25" s="890"/>
      <c r="J25" s="890"/>
      <c r="K25" s="890"/>
      <c r="L25" s="890"/>
      <c r="M25" s="890"/>
    </row>
    <row r="26" spans="1:15" s="846" customFormat="1" ht="12.75" customHeight="1">
      <c r="A26" s="910" t="s">
        <v>1054</v>
      </c>
      <c r="B26" s="861" t="s">
        <v>1055</v>
      </c>
      <c r="C26" s="861"/>
      <c r="D26" s="862"/>
      <c r="E26" s="911">
        <v>37.1</v>
      </c>
      <c r="F26" s="911">
        <v>71.8</v>
      </c>
      <c r="G26" s="911">
        <v>36.299999999999997</v>
      </c>
      <c r="H26" s="911">
        <v>68.5</v>
      </c>
      <c r="I26" s="911">
        <v>47.8</v>
      </c>
      <c r="J26" s="911">
        <v>69.7</v>
      </c>
      <c r="K26" s="911">
        <v>80.599999999999994</v>
      </c>
      <c r="L26" s="911">
        <v>95.9</v>
      </c>
      <c r="M26" s="911">
        <v>113.5</v>
      </c>
      <c r="N26" s="911">
        <v>100.1</v>
      </c>
      <c r="O26" s="911">
        <v>129.80000000000001</v>
      </c>
    </row>
    <row r="27" spans="1:15" ht="3" customHeight="1">
      <c r="B27" s="822"/>
      <c r="C27" s="822"/>
      <c r="I27" s="890"/>
      <c r="J27" s="890"/>
      <c r="K27" s="890"/>
      <c r="L27" s="890"/>
      <c r="M27" s="890"/>
      <c r="N27" s="890"/>
      <c r="O27" s="890"/>
    </row>
    <row r="28" spans="1:15" s="914" customFormat="1" ht="10.5" customHeight="1">
      <c r="A28" s="912" t="s">
        <v>1056</v>
      </c>
      <c r="B28" s="913" t="s">
        <v>66</v>
      </c>
      <c r="C28" s="913"/>
      <c r="E28" s="914">
        <v>34.700000000000003</v>
      </c>
      <c r="F28" s="914">
        <v>66.599999999999994</v>
      </c>
      <c r="G28" s="914">
        <v>32.9</v>
      </c>
      <c r="H28" s="914">
        <v>62.4</v>
      </c>
      <c r="I28" s="914">
        <v>43</v>
      </c>
      <c r="J28" s="914">
        <v>62.8</v>
      </c>
      <c r="K28" s="914">
        <v>73.3</v>
      </c>
      <c r="L28" s="914">
        <v>88</v>
      </c>
      <c r="M28" s="914">
        <v>105.5</v>
      </c>
      <c r="N28" s="914">
        <v>91</v>
      </c>
      <c r="O28" s="914">
        <v>118.2</v>
      </c>
    </row>
    <row r="29" spans="1:15" s="801" customFormat="1" ht="11.1" customHeight="1">
      <c r="A29" s="915"/>
      <c r="B29" s="898" t="s">
        <v>1057</v>
      </c>
      <c r="C29" s="916" t="s">
        <v>1058</v>
      </c>
      <c r="E29" s="914">
        <v>2.7</v>
      </c>
      <c r="F29" s="914">
        <v>5.0999999999999996</v>
      </c>
      <c r="G29" s="914">
        <v>2.9</v>
      </c>
      <c r="H29" s="914">
        <v>5.3</v>
      </c>
      <c r="I29" s="914">
        <v>4.2</v>
      </c>
      <c r="J29" s="914">
        <v>5.4</v>
      </c>
      <c r="K29" s="914">
        <v>7.3</v>
      </c>
      <c r="L29" s="914">
        <v>9.5</v>
      </c>
      <c r="M29" s="914">
        <v>10.9</v>
      </c>
      <c r="N29" s="914">
        <v>9</v>
      </c>
      <c r="O29" s="914">
        <v>11.9</v>
      </c>
    </row>
    <row r="30" spans="1:15" s="917" customFormat="1" ht="11.1" customHeight="1">
      <c r="B30" s="898" t="s">
        <v>1059</v>
      </c>
      <c r="C30" s="918" t="s">
        <v>1060</v>
      </c>
      <c r="E30" s="914">
        <v>0.1</v>
      </c>
      <c r="F30" s="914">
        <v>0.2</v>
      </c>
      <c r="G30" s="914">
        <v>0.3</v>
      </c>
      <c r="H30" s="914">
        <v>0.5</v>
      </c>
      <c r="I30" s="914">
        <v>0.5</v>
      </c>
      <c r="J30" s="914">
        <v>0.6</v>
      </c>
      <c r="K30" s="914">
        <v>0.8</v>
      </c>
      <c r="L30" s="914">
        <v>0.8</v>
      </c>
      <c r="M30" s="914">
        <v>1</v>
      </c>
      <c r="N30" s="914">
        <v>0.8</v>
      </c>
      <c r="O30" s="914">
        <v>1.3</v>
      </c>
    </row>
    <row r="31" spans="1:15" s="801" customFormat="1" ht="11.1" customHeight="1">
      <c r="A31" s="915"/>
      <c r="B31" s="898" t="s">
        <v>1061</v>
      </c>
      <c r="C31" s="916" t="s">
        <v>1062</v>
      </c>
      <c r="E31" s="914">
        <v>2.7</v>
      </c>
      <c r="F31" s="914">
        <v>4.4000000000000004</v>
      </c>
      <c r="G31" s="914">
        <v>2.1</v>
      </c>
      <c r="H31" s="914">
        <v>3.6</v>
      </c>
      <c r="I31" s="914">
        <v>3.2</v>
      </c>
      <c r="J31" s="914">
        <v>4.4000000000000004</v>
      </c>
      <c r="K31" s="914">
        <v>4.4000000000000004</v>
      </c>
      <c r="L31" s="914">
        <v>6.1</v>
      </c>
      <c r="M31" s="914">
        <v>7.2</v>
      </c>
      <c r="N31" s="914">
        <v>5.6</v>
      </c>
      <c r="O31" s="914">
        <v>8.6</v>
      </c>
    </row>
    <row r="32" spans="1:15" s="917" customFormat="1" ht="11.1" customHeight="1">
      <c r="B32" s="898" t="s">
        <v>1063</v>
      </c>
      <c r="C32" s="918" t="s">
        <v>1064</v>
      </c>
      <c r="E32" s="914">
        <v>0.3</v>
      </c>
      <c r="F32" s="914">
        <v>0.6</v>
      </c>
      <c r="G32" s="914">
        <v>0.6</v>
      </c>
      <c r="H32" s="914">
        <v>0.9</v>
      </c>
      <c r="I32" s="914">
        <v>0.9</v>
      </c>
      <c r="J32" s="914">
        <v>1.1000000000000001</v>
      </c>
      <c r="K32" s="914">
        <v>1.3</v>
      </c>
      <c r="L32" s="914">
        <v>1.9</v>
      </c>
      <c r="M32" s="914">
        <v>1.6</v>
      </c>
      <c r="N32" s="914">
        <v>1.6</v>
      </c>
      <c r="O32" s="914">
        <v>2.1</v>
      </c>
    </row>
    <row r="33" spans="1:15" s="914" customFormat="1" ht="3" customHeight="1">
      <c r="A33" s="887"/>
      <c r="B33" s="913"/>
    </row>
    <row r="34" spans="1:15" s="801" customFormat="1" ht="11.1" customHeight="1">
      <c r="A34" s="915"/>
      <c r="B34" s="898" t="s">
        <v>1065</v>
      </c>
      <c r="C34" s="801" t="s">
        <v>1066</v>
      </c>
      <c r="E34" s="914">
        <v>0.9</v>
      </c>
      <c r="F34" s="914">
        <v>2.8</v>
      </c>
      <c r="G34" s="914">
        <v>1.1000000000000001</v>
      </c>
      <c r="H34" s="914">
        <v>2.5</v>
      </c>
      <c r="I34" s="914">
        <v>1.4</v>
      </c>
      <c r="J34" s="914">
        <v>2.9</v>
      </c>
      <c r="K34" s="914">
        <v>2.4</v>
      </c>
      <c r="L34" s="914">
        <v>2.2999999999999998</v>
      </c>
      <c r="M34" s="914">
        <v>3.7</v>
      </c>
      <c r="N34" s="914">
        <v>3.7</v>
      </c>
      <c r="O34" s="914">
        <v>4.4000000000000004</v>
      </c>
    </row>
    <row r="35" spans="1:15" s="801" customFormat="1" ht="11.1" customHeight="1">
      <c r="A35" s="915"/>
      <c r="B35" s="898" t="s">
        <v>1067</v>
      </c>
      <c r="C35" s="916" t="s">
        <v>1068</v>
      </c>
      <c r="E35" s="914">
        <v>0.3</v>
      </c>
      <c r="F35" s="914">
        <v>0.8</v>
      </c>
      <c r="G35" s="914">
        <v>0.3</v>
      </c>
      <c r="H35" s="914">
        <v>0.7</v>
      </c>
      <c r="I35" s="919">
        <v>0.3</v>
      </c>
      <c r="J35" s="914">
        <v>0.7</v>
      </c>
      <c r="K35" s="914">
        <v>0.6</v>
      </c>
      <c r="L35" s="914">
        <v>0.8</v>
      </c>
      <c r="M35" s="914">
        <v>0.9</v>
      </c>
      <c r="N35" s="914">
        <v>1</v>
      </c>
      <c r="O35" s="914">
        <v>1.3</v>
      </c>
    </row>
    <row r="36" spans="1:15" s="917" customFormat="1" ht="11.1" customHeight="1">
      <c r="B36" s="898" t="s">
        <v>1069</v>
      </c>
      <c r="C36" s="918" t="s">
        <v>1070</v>
      </c>
      <c r="E36" s="914">
        <v>0.4</v>
      </c>
      <c r="F36" s="914">
        <v>1.2</v>
      </c>
      <c r="G36" s="914">
        <v>0.3</v>
      </c>
      <c r="H36" s="914">
        <v>0.7</v>
      </c>
      <c r="I36" s="920" t="s">
        <v>1036</v>
      </c>
      <c r="J36" s="919">
        <v>0.7</v>
      </c>
      <c r="K36" s="914">
        <v>0.5</v>
      </c>
      <c r="L36" s="914">
        <v>0.6</v>
      </c>
      <c r="M36" s="919">
        <v>1.3</v>
      </c>
      <c r="N36" s="914">
        <v>1.4</v>
      </c>
      <c r="O36" s="914">
        <v>1.8</v>
      </c>
    </row>
    <row r="37" spans="1:15" s="921" customFormat="1" ht="11.1" customHeight="1">
      <c r="B37" s="898" t="s">
        <v>1071</v>
      </c>
      <c r="C37" s="922" t="s">
        <v>1072</v>
      </c>
      <c r="E37" s="914">
        <v>0.8</v>
      </c>
      <c r="F37" s="914">
        <v>1.9</v>
      </c>
      <c r="G37" s="914">
        <v>1.1000000000000001</v>
      </c>
      <c r="H37" s="914">
        <v>2.4</v>
      </c>
      <c r="I37" s="914">
        <v>1.5</v>
      </c>
      <c r="J37" s="914">
        <v>3.2</v>
      </c>
      <c r="K37" s="914">
        <v>2.8</v>
      </c>
      <c r="L37" s="914">
        <v>3.4</v>
      </c>
      <c r="M37" s="914">
        <v>5.2</v>
      </c>
      <c r="N37" s="914">
        <v>4.5</v>
      </c>
      <c r="O37" s="914">
        <v>6.2</v>
      </c>
    </row>
    <row r="38" spans="1:15" s="801" customFormat="1" ht="11.1" customHeight="1">
      <c r="A38" s="915"/>
      <c r="B38" s="898" t="s">
        <v>1073</v>
      </c>
      <c r="C38" s="916" t="s">
        <v>1074</v>
      </c>
      <c r="E38" s="914">
        <v>0.5</v>
      </c>
      <c r="F38" s="914">
        <v>1.3</v>
      </c>
      <c r="G38" s="914">
        <v>0.4</v>
      </c>
      <c r="H38" s="914">
        <v>1</v>
      </c>
      <c r="I38" s="914">
        <v>0.6</v>
      </c>
      <c r="J38" s="914">
        <v>0.9</v>
      </c>
      <c r="K38" s="914">
        <v>0.9</v>
      </c>
      <c r="L38" s="914">
        <v>1.1000000000000001</v>
      </c>
      <c r="M38" s="914">
        <v>1.2</v>
      </c>
      <c r="N38" s="914">
        <v>1.3</v>
      </c>
      <c r="O38" s="914">
        <v>1.3</v>
      </c>
    </row>
    <row r="39" spans="1:15" s="917" customFormat="1" ht="11.1" customHeight="1">
      <c r="B39" s="898" t="s">
        <v>1075</v>
      </c>
      <c r="C39" s="918" t="s">
        <v>1076</v>
      </c>
      <c r="E39" s="914">
        <v>4.5999999999999996</v>
      </c>
      <c r="F39" s="914">
        <v>6.9</v>
      </c>
      <c r="G39" s="914">
        <v>4.0999999999999996</v>
      </c>
      <c r="H39" s="914">
        <v>7.2</v>
      </c>
      <c r="I39" s="914">
        <v>5.0999999999999996</v>
      </c>
      <c r="J39" s="914">
        <v>6.8</v>
      </c>
      <c r="K39" s="914">
        <v>8</v>
      </c>
      <c r="L39" s="914">
        <v>9.4</v>
      </c>
      <c r="M39" s="914">
        <v>10.9</v>
      </c>
      <c r="N39" s="914">
        <v>10.3</v>
      </c>
      <c r="O39" s="914">
        <v>12.4</v>
      </c>
    </row>
    <row r="40" spans="1:15" s="917" customFormat="1" ht="3" customHeight="1">
      <c r="A40" s="898"/>
      <c r="B40" s="918"/>
      <c r="E40" s="914"/>
      <c r="F40" s="914"/>
      <c r="G40" s="914"/>
      <c r="H40" s="914"/>
      <c r="I40" s="914"/>
      <c r="J40" s="914"/>
      <c r="K40" s="914"/>
      <c r="L40" s="914"/>
      <c r="M40" s="914"/>
      <c r="N40" s="914"/>
      <c r="O40" s="914"/>
    </row>
    <row r="41" spans="1:15" s="917" customFormat="1" ht="11.1" customHeight="1">
      <c r="B41" s="898" t="s">
        <v>1077</v>
      </c>
      <c r="C41" s="918" t="s">
        <v>1078</v>
      </c>
      <c r="E41" s="914">
        <v>2.8</v>
      </c>
      <c r="F41" s="914">
        <v>5.2</v>
      </c>
      <c r="G41" s="914">
        <v>1.7</v>
      </c>
      <c r="H41" s="914">
        <v>3.7</v>
      </c>
      <c r="I41" s="914">
        <v>1.8</v>
      </c>
      <c r="J41" s="914">
        <v>2.2999999999999998</v>
      </c>
      <c r="K41" s="914">
        <v>3.5</v>
      </c>
      <c r="L41" s="914">
        <v>3.6</v>
      </c>
      <c r="M41" s="914">
        <v>4.4000000000000004</v>
      </c>
      <c r="N41" s="914">
        <v>4.4000000000000004</v>
      </c>
      <c r="O41" s="914">
        <v>5.7</v>
      </c>
    </row>
    <row r="42" spans="1:15" s="801" customFormat="1" ht="3" customHeight="1">
      <c r="A42" s="898"/>
      <c r="E42" s="914"/>
      <c r="F42" s="914"/>
      <c r="G42" s="914"/>
      <c r="H42" s="914"/>
      <c r="I42" s="914"/>
      <c r="J42" s="914"/>
      <c r="K42" s="914"/>
      <c r="L42" s="914"/>
      <c r="M42" s="914"/>
      <c r="N42" s="914"/>
      <c r="O42" s="914"/>
    </row>
    <row r="43" spans="1:15" s="801" customFormat="1" ht="11.1" customHeight="1">
      <c r="A43" s="915"/>
      <c r="B43" s="898" t="s">
        <v>1079</v>
      </c>
      <c r="C43" s="916" t="s">
        <v>1080</v>
      </c>
      <c r="E43" s="914">
        <v>1.5</v>
      </c>
      <c r="F43" s="914">
        <v>2.5</v>
      </c>
      <c r="G43" s="914">
        <v>1.1000000000000001</v>
      </c>
      <c r="H43" s="914">
        <v>1.7</v>
      </c>
      <c r="I43" s="914">
        <v>1.4</v>
      </c>
      <c r="J43" s="914">
        <v>2.6</v>
      </c>
      <c r="K43" s="914">
        <v>2.7</v>
      </c>
      <c r="L43" s="914">
        <v>3.2</v>
      </c>
      <c r="M43" s="914">
        <v>4.3</v>
      </c>
      <c r="N43" s="914">
        <v>2.8</v>
      </c>
      <c r="O43" s="914">
        <v>3.6</v>
      </c>
    </row>
    <row r="44" spans="1:15" s="917" customFormat="1" ht="11.1" customHeight="1">
      <c r="B44" s="898" t="s">
        <v>1081</v>
      </c>
      <c r="C44" s="918" t="s">
        <v>1082</v>
      </c>
      <c r="E44" s="914">
        <v>1.1000000000000001</v>
      </c>
      <c r="F44" s="914">
        <v>2.4</v>
      </c>
      <c r="G44" s="914">
        <v>1.3</v>
      </c>
      <c r="H44" s="914">
        <v>2.5</v>
      </c>
      <c r="I44" s="914">
        <v>1.6</v>
      </c>
      <c r="J44" s="914">
        <v>2.2000000000000002</v>
      </c>
      <c r="K44" s="914">
        <v>3.1</v>
      </c>
      <c r="L44" s="914">
        <v>3.8</v>
      </c>
      <c r="M44" s="914">
        <v>4.0999999999999996</v>
      </c>
      <c r="N44" s="914">
        <v>3.4</v>
      </c>
      <c r="O44" s="914">
        <v>4</v>
      </c>
    </row>
    <row r="45" spans="1:15" s="921" customFormat="1" ht="11.1" customHeight="1">
      <c r="B45" s="898" t="s">
        <v>1083</v>
      </c>
      <c r="C45" s="922" t="s">
        <v>1084</v>
      </c>
      <c r="E45" s="914">
        <v>0.5</v>
      </c>
      <c r="F45" s="914">
        <v>0.9</v>
      </c>
      <c r="G45" s="914">
        <v>0.4</v>
      </c>
      <c r="H45" s="914">
        <v>0.8</v>
      </c>
      <c r="I45" s="914">
        <v>0.5</v>
      </c>
      <c r="J45" s="914">
        <v>0.7</v>
      </c>
      <c r="K45" s="914">
        <v>0.9</v>
      </c>
      <c r="L45" s="914">
        <v>1.1000000000000001</v>
      </c>
      <c r="M45" s="914">
        <v>1.2</v>
      </c>
      <c r="N45" s="914">
        <v>1.2</v>
      </c>
      <c r="O45" s="914">
        <v>1.4</v>
      </c>
    </row>
    <row r="46" spans="1:15" s="801" customFormat="1" ht="11.1" customHeight="1">
      <c r="A46" s="915"/>
      <c r="B46" s="898" t="s">
        <v>1085</v>
      </c>
      <c r="C46" s="916" t="s">
        <v>1086</v>
      </c>
      <c r="E46" s="914">
        <v>1.4</v>
      </c>
      <c r="F46" s="914">
        <v>3</v>
      </c>
      <c r="G46" s="914">
        <v>1.3</v>
      </c>
      <c r="H46" s="914">
        <v>2.5</v>
      </c>
      <c r="I46" s="914">
        <v>1.7</v>
      </c>
      <c r="J46" s="914">
        <v>2.4</v>
      </c>
      <c r="K46" s="914">
        <v>3</v>
      </c>
      <c r="L46" s="914">
        <v>3.5</v>
      </c>
      <c r="M46" s="914">
        <v>4.5</v>
      </c>
      <c r="N46" s="914">
        <v>3.5</v>
      </c>
      <c r="O46" s="914">
        <v>4.2</v>
      </c>
    </row>
    <row r="47" spans="1:15" s="917" customFormat="1" ht="3" customHeight="1">
      <c r="A47" s="898"/>
      <c r="B47" s="918"/>
      <c r="E47" s="914"/>
      <c r="F47" s="914"/>
      <c r="G47" s="914"/>
      <c r="H47" s="914"/>
      <c r="I47" s="914"/>
      <c r="J47" s="914"/>
      <c r="K47" s="914"/>
      <c r="L47" s="914"/>
      <c r="M47" s="914"/>
      <c r="N47" s="914"/>
      <c r="O47" s="914"/>
    </row>
    <row r="48" spans="1:15" s="917" customFormat="1" ht="11.1" customHeight="1">
      <c r="B48" s="898" t="s">
        <v>1087</v>
      </c>
      <c r="C48" s="918" t="s">
        <v>1088</v>
      </c>
      <c r="E48" s="914">
        <v>0.4</v>
      </c>
      <c r="F48" s="914">
        <v>0.8</v>
      </c>
      <c r="G48" s="914">
        <v>0.2</v>
      </c>
      <c r="H48" s="914">
        <v>0.5</v>
      </c>
      <c r="I48" s="914">
        <v>0.3</v>
      </c>
      <c r="J48" s="914">
        <v>0.5</v>
      </c>
      <c r="K48" s="914">
        <v>0.5</v>
      </c>
      <c r="L48" s="914">
        <v>0.8</v>
      </c>
      <c r="M48" s="914">
        <v>0.9</v>
      </c>
      <c r="N48" s="914">
        <v>0.8</v>
      </c>
      <c r="O48" s="914">
        <v>0.8</v>
      </c>
    </row>
    <row r="49" spans="2:15" s="917" customFormat="1" ht="11.1" customHeight="1">
      <c r="B49" s="898" t="s">
        <v>1089</v>
      </c>
      <c r="C49" s="918" t="s">
        <v>1090</v>
      </c>
      <c r="E49" s="914">
        <v>0.5</v>
      </c>
      <c r="F49" s="914">
        <v>0.9</v>
      </c>
      <c r="G49" s="914">
        <v>0.3</v>
      </c>
      <c r="H49" s="914">
        <v>0.7</v>
      </c>
      <c r="I49" s="914">
        <v>0.4</v>
      </c>
      <c r="J49" s="914">
        <v>0.6</v>
      </c>
      <c r="K49" s="914">
        <v>0.7</v>
      </c>
      <c r="L49" s="914">
        <v>1.1000000000000001</v>
      </c>
      <c r="M49" s="914">
        <v>0.8</v>
      </c>
      <c r="N49" s="914">
        <v>0.9</v>
      </c>
      <c r="O49" s="914">
        <v>1.1000000000000001</v>
      </c>
    </row>
    <row r="50" spans="2:15" s="917" customFormat="1" ht="11.1" customHeight="1">
      <c r="B50" s="898" t="s">
        <v>1091</v>
      </c>
      <c r="C50" s="918" t="s">
        <v>1092</v>
      </c>
      <c r="E50" s="914">
        <v>0.2</v>
      </c>
      <c r="F50" s="914">
        <v>0.4</v>
      </c>
      <c r="G50" s="914">
        <v>0.2</v>
      </c>
      <c r="H50" s="914">
        <v>0.5</v>
      </c>
      <c r="I50" s="914">
        <v>0.2</v>
      </c>
      <c r="J50" s="914">
        <v>0.6</v>
      </c>
      <c r="K50" s="914">
        <v>0.4</v>
      </c>
      <c r="L50" s="914">
        <v>0.5</v>
      </c>
      <c r="M50" s="914">
        <v>0.6</v>
      </c>
      <c r="N50" s="914">
        <v>0.7</v>
      </c>
      <c r="O50" s="914">
        <v>0.8</v>
      </c>
    </row>
    <row r="51" spans="2:15" s="917" customFormat="1" ht="6" customHeight="1">
      <c r="B51" s="898"/>
      <c r="C51" s="918"/>
      <c r="E51" s="914"/>
      <c r="F51" s="914"/>
      <c r="G51" s="914"/>
      <c r="H51" s="914"/>
      <c r="I51" s="914"/>
      <c r="J51" s="914"/>
      <c r="K51" s="914"/>
      <c r="L51" s="914"/>
      <c r="M51" s="914"/>
      <c r="N51" s="914"/>
      <c r="O51" s="914"/>
    </row>
    <row r="52" spans="2:15" s="917" customFormat="1" ht="11.1" customHeight="1">
      <c r="B52" s="898" t="s">
        <v>1093</v>
      </c>
      <c r="C52" s="918" t="s">
        <v>1094</v>
      </c>
      <c r="E52" s="914">
        <v>3</v>
      </c>
      <c r="F52" s="914">
        <v>5.6</v>
      </c>
      <c r="G52" s="914">
        <v>2.2000000000000002</v>
      </c>
      <c r="H52" s="914">
        <v>4</v>
      </c>
      <c r="I52" s="914">
        <v>3.1</v>
      </c>
      <c r="J52" s="914">
        <v>4.0999999999999996</v>
      </c>
      <c r="K52" s="914">
        <v>5</v>
      </c>
      <c r="L52" s="914">
        <v>6.1</v>
      </c>
      <c r="M52" s="914">
        <v>7.8</v>
      </c>
      <c r="N52" s="914">
        <v>5.7</v>
      </c>
      <c r="O52" s="914">
        <v>6.7</v>
      </c>
    </row>
    <row r="53" spans="2:15" s="917" customFormat="1" ht="11.1" customHeight="1">
      <c r="B53" s="898" t="s">
        <v>1095</v>
      </c>
      <c r="C53" s="918" t="s">
        <v>1096</v>
      </c>
      <c r="E53" s="914">
        <v>0.3</v>
      </c>
      <c r="F53" s="914">
        <v>0.5</v>
      </c>
      <c r="G53" s="914">
        <v>0.3</v>
      </c>
      <c r="H53" s="914">
        <v>0.5</v>
      </c>
      <c r="I53" s="914">
        <v>0.4</v>
      </c>
      <c r="J53" s="914">
        <v>0.5</v>
      </c>
      <c r="K53" s="914">
        <v>0.7</v>
      </c>
      <c r="L53" s="914">
        <v>0.7</v>
      </c>
      <c r="M53" s="914">
        <v>1.1000000000000001</v>
      </c>
      <c r="N53" s="914">
        <v>0.8</v>
      </c>
      <c r="O53" s="914">
        <v>0.9</v>
      </c>
    </row>
    <row r="54" spans="2:15" s="917" customFormat="1" ht="11.1" customHeight="1">
      <c r="B54" s="898" t="s">
        <v>1097</v>
      </c>
      <c r="C54" s="918" t="s">
        <v>1098</v>
      </c>
      <c r="E54" s="914">
        <v>0.7</v>
      </c>
      <c r="F54" s="914">
        <v>1.3</v>
      </c>
      <c r="G54" s="914">
        <v>0.7</v>
      </c>
      <c r="H54" s="914">
        <v>1</v>
      </c>
      <c r="I54" s="914">
        <v>0.5</v>
      </c>
      <c r="J54" s="914">
        <v>1</v>
      </c>
      <c r="K54" s="914">
        <v>1.2</v>
      </c>
      <c r="L54" s="914">
        <v>1.2</v>
      </c>
      <c r="M54" s="914">
        <v>1</v>
      </c>
      <c r="N54" s="914">
        <v>1.5</v>
      </c>
      <c r="O54" s="914">
        <v>1.5</v>
      </c>
    </row>
    <row r="55" spans="2:15" s="917" customFormat="1" ht="11.1" customHeight="1">
      <c r="B55" s="898" t="s">
        <v>1099</v>
      </c>
      <c r="C55" s="918" t="s">
        <v>1100</v>
      </c>
      <c r="E55" s="914">
        <v>0.1</v>
      </c>
      <c r="F55" s="914">
        <v>0.3</v>
      </c>
      <c r="G55" s="914">
        <v>0.1</v>
      </c>
      <c r="H55" s="914">
        <v>0.2</v>
      </c>
      <c r="I55" s="920" t="s">
        <v>1036</v>
      </c>
      <c r="J55" s="919">
        <v>0.1</v>
      </c>
      <c r="K55" s="914">
        <v>0.2</v>
      </c>
      <c r="L55" s="914">
        <v>0.2</v>
      </c>
      <c r="M55" s="914">
        <v>0.2</v>
      </c>
      <c r="N55" s="914">
        <v>0.2</v>
      </c>
      <c r="O55" s="914">
        <v>0.2</v>
      </c>
    </row>
    <row r="56" spans="2:15" s="917" customFormat="1" ht="3" customHeight="1">
      <c r="B56" s="898"/>
      <c r="C56" s="918"/>
      <c r="E56" s="914"/>
      <c r="F56" s="914"/>
      <c r="G56" s="914"/>
      <c r="H56" s="914"/>
      <c r="I56" s="914"/>
      <c r="J56" s="914"/>
      <c r="K56" s="914"/>
      <c r="L56" s="914"/>
      <c r="M56" s="914"/>
      <c r="N56" s="914"/>
      <c r="O56" s="914"/>
    </row>
    <row r="57" spans="2:15" s="917" customFormat="1" ht="11.1" customHeight="1">
      <c r="B57" s="898" t="s">
        <v>1101</v>
      </c>
      <c r="C57" s="918" t="s">
        <v>1102</v>
      </c>
      <c r="E57" s="914">
        <v>2.7</v>
      </c>
      <c r="F57" s="914">
        <v>5.4</v>
      </c>
      <c r="G57" s="914">
        <v>2.7</v>
      </c>
      <c r="H57" s="914">
        <v>5.5</v>
      </c>
      <c r="I57" s="914">
        <v>2.5</v>
      </c>
      <c r="J57" s="914">
        <v>4.2</v>
      </c>
      <c r="K57" s="914">
        <v>5.9</v>
      </c>
      <c r="L57" s="914">
        <v>6.6</v>
      </c>
      <c r="M57" s="914">
        <v>7.7</v>
      </c>
      <c r="N57" s="914">
        <v>7.1</v>
      </c>
      <c r="O57" s="914">
        <v>8.4</v>
      </c>
    </row>
    <row r="58" spans="2:15" s="917" customFormat="1" ht="11.1" customHeight="1">
      <c r="B58" s="898" t="s">
        <v>1103</v>
      </c>
      <c r="C58" s="918" t="s">
        <v>1104</v>
      </c>
      <c r="E58" s="923">
        <v>0</v>
      </c>
      <c r="F58" s="924">
        <v>0</v>
      </c>
      <c r="G58" s="924">
        <v>0</v>
      </c>
      <c r="H58" s="914">
        <v>0.1</v>
      </c>
      <c r="I58" s="844" t="s">
        <v>1036</v>
      </c>
      <c r="J58" s="844" t="s">
        <v>1036</v>
      </c>
      <c r="K58" s="914">
        <v>0.1</v>
      </c>
      <c r="L58" s="914">
        <v>0.1</v>
      </c>
      <c r="M58" s="919">
        <v>0.2</v>
      </c>
      <c r="N58" s="914">
        <v>0.2</v>
      </c>
      <c r="O58" s="919">
        <v>0.2</v>
      </c>
    </row>
    <row r="59" spans="2:15" s="917" customFormat="1" ht="11.1" customHeight="1">
      <c r="B59" s="898" t="s">
        <v>1105</v>
      </c>
      <c r="C59" s="918" t="s">
        <v>1106</v>
      </c>
      <c r="E59" s="914">
        <v>0.9</v>
      </c>
      <c r="F59" s="914">
        <v>1.7</v>
      </c>
      <c r="G59" s="914">
        <v>1.4</v>
      </c>
      <c r="H59" s="914">
        <v>2.4</v>
      </c>
      <c r="I59" s="914">
        <v>1.6</v>
      </c>
      <c r="J59" s="914">
        <v>1.5</v>
      </c>
      <c r="K59" s="914">
        <v>2.7</v>
      </c>
      <c r="L59" s="914">
        <v>2.9</v>
      </c>
      <c r="M59" s="914">
        <v>3.3</v>
      </c>
      <c r="N59" s="914">
        <v>3.1</v>
      </c>
      <c r="O59" s="914">
        <v>3.6</v>
      </c>
    </row>
    <row r="60" spans="2:15" s="917" customFormat="1" ht="11.1" customHeight="1">
      <c r="B60" s="898" t="s">
        <v>1107</v>
      </c>
      <c r="C60" s="918" t="s">
        <v>1108</v>
      </c>
      <c r="E60" s="914">
        <v>0.5</v>
      </c>
      <c r="F60" s="914">
        <v>1</v>
      </c>
      <c r="G60" s="914">
        <v>0.3</v>
      </c>
      <c r="H60" s="914">
        <v>0.7</v>
      </c>
      <c r="I60" s="914">
        <v>0.4</v>
      </c>
      <c r="J60" s="914">
        <v>0.7</v>
      </c>
      <c r="K60" s="914">
        <v>0.7</v>
      </c>
      <c r="L60" s="914">
        <v>0.9</v>
      </c>
      <c r="M60" s="914">
        <v>1.1000000000000001</v>
      </c>
      <c r="N60" s="914">
        <v>1</v>
      </c>
      <c r="O60" s="914">
        <v>1.3</v>
      </c>
    </row>
    <row r="61" spans="2:15" s="917" customFormat="1" ht="11.1" customHeight="1">
      <c r="B61" s="898" t="s">
        <v>1109</v>
      </c>
      <c r="C61" s="918" t="s">
        <v>1110</v>
      </c>
      <c r="E61" s="914">
        <v>0.8</v>
      </c>
      <c r="F61" s="914">
        <v>1.5</v>
      </c>
      <c r="G61" s="914">
        <v>1</v>
      </c>
      <c r="H61" s="914">
        <v>1.7</v>
      </c>
      <c r="I61" s="914">
        <v>1.8</v>
      </c>
      <c r="J61" s="914">
        <v>2.2999999999999998</v>
      </c>
      <c r="K61" s="914">
        <v>2.4</v>
      </c>
      <c r="L61" s="914">
        <v>3.4</v>
      </c>
      <c r="M61" s="914">
        <v>3.8</v>
      </c>
      <c r="N61" s="914">
        <v>3.1</v>
      </c>
      <c r="O61" s="914">
        <v>4.0999999999999996</v>
      </c>
    </row>
    <row r="62" spans="2:15" s="917" customFormat="1" ht="4.5" customHeight="1">
      <c r="B62" s="898"/>
      <c r="C62" s="918"/>
      <c r="E62" s="914"/>
      <c r="F62" s="914"/>
      <c r="G62" s="914"/>
      <c r="H62" s="914"/>
      <c r="I62" s="914"/>
      <c r="J62" s="914"/>
      <c r="K62" s="914"/>
      <c r="L62" s="914"/>
      <c r="M62" s="914"/>
      <c r="N62" s="914"/>
      <c r="O62" s="914"/>
    </row>
    <row r="63" spans="2:15" s="917" customFormat="1" ht="11.1" customHeight="1">
      <c r="B63" s="898" t="s">
        <v>1111</v>
      </c>
      <c r="C63" s="918" t="s">
        <v>1112</v>
      </c>
      <c r="E63" s="914">
        <v>0.2</v>
      </c>
      <c r="F63" s="914">
        <v>0.5</v>
      </c>
      <c r="G63" s="914">
        <v>0.2</v>
      </c>
      <c r="H63" s="914">
        <v>0.4</v>
      </c>
      <c r="I63" s="914">
        <v>0.3</v>
      </c>
      <c r="J63" s="914">
        <v>0.9</v>
      </c>
      <c r="K63" s="914">
        <v>0.5</v>
      </c>
      <c r="L63" s="914">
        <v>0.8</v>
      </c>
      <c r="M63" s="914">
        <v>1.2</v>
      </c>
      <c r="N63" s="914">
        <v>0.7</v>
      </c>
      <c r="O63" s="914">
        <v>1</v>
      </c>
    </row>
    <row r="64" spans="2:15" s="917" customFormat="1" ht="11.1" customHeight="1">
      <c r="B64" s="898" t="s">
        <v>1113</v>
      </c>
      <c r="C64" s="918" t="s">
        <v>1114</v>
      </c>
      <c r="E64" s="914">
        <v>0.3</v>
      </c>
      <c r="F64" s="914">
        <v>0.6</v>
      </c>
      <c r="G64" s="914">
        <v>0.2</v>
      </c>
      <c r="H64" s="914">
        <v>0.4</v>
      </c>
      <c r="I64" s="914">
        <v>0.2</v>
      </c>
      <c r="J64" s="914">
        <v>0.3</v>
      </c>
      <c r="K64" s="914">
        <v>0.4</v>
      </c>
      <c r="L64" s="914">
        <v>0.4</v>
      </c>
      <c r="M64" s="914">
        <v>0.6</v>
      </c>
      <c r="N64" s="914">
        <v>0.4</v>
      </c>
      <c r="O64" s="914">
        <v>0.9</v>
      </c>
    </row>
    <row r="65" spans="1:15" s="917" customFormat="1" ht="11.1" customHeight="1">
      <c r="B65" s="898" t="s">
        <v>1115</v>
      </c>
      <c r="C65" s="918" t="s">
        <v>1116</v>
      </c>
      <c r="E65" s="914">
        <v>1.1000000000000001</v>
      </c>
      <c r="F65" s="914">
        <v>2.4</v>
      </c>
      <c r="G65" s="914">
        <v>1.3</v>
      </c>
      <c r="H65" s="914">
        <v>2.5</v>
      </c>
      <c r="I65" s="914">
        <v>2.1</v>
      </c>
      <c r="J65" s="914">
        <v>3.1</v>
      </c>
      <c r="K65" s="914">
        <v>3.2</v>
      </c>
      <c r="L65" s="914">
        <v>4.0999999999999996</v>
      </c>
      <c r="M65" s="914">
        <v>4.3</v>
      </c>
      <c r="N65" s="914">
        <v>3.7</v>
      </c>
      <c r="O65" s="914">
        <v>4.5999999999999996</v>
      </c>
    </row>
    <row r="66" spans="1:15" s="917" customFormat="1" ht="11.1" customHeight="1">
      <c r="B66" s="898" t="s">
        <v>1117</v>
      </c>
      <c r="C66" s="918" t="s">
        <v>1118</v>
      </c>
      <c r="E66" s="914">
        <v>0.4</v>
      </c>
      <c r="F66" s="914">
        <v>0.6</v>
      </c>
      <c r="G66" s="914">
        <v>0.4</v>
      </c>
      <c r="H66" s="914">
        <v>0.8</v>
      </c>
      <c r="I66" s="914">
        <v>1</v>
      </c>
      <c r="J66" s="914">
        <v>1.7</v>
      </c>
      <c r="K66" s="914">
        <v>1.6</v>
      </c>
      <c r="L66" s="914">
        <v>1.4</v>
      </c>
      <c r="M66" s="914">
        <v>2.4</v>
      </c>
      <c r="N66" s="914">
        <v>1.3</v>
      </c>
      <c r="O66" s="914">
        <v>1.8</v>
      </c>
    </row>
    <row r="67" spans="1:15" s="917" customFormat="1" ht="11.1" customHeight="1">
      <c r="B67" s="898" t="s">
        <v>1119</v>
      </c>
      <c r="C67" s="918" t="s">
        <v>1120</v>
      </c>
      <c r="E67" s="914">
        <v>0.4</v>
      </c>
      <c r="F67" s="914">
        <v>1</v>
      </c>
      <c r="G67" s="914">
        <v>0.6</v>
      </c>
      <c r="H67" s="914">
        <v>0.9</v>
      </c>
      <c r="I67" s="914">
        <v>1.1000000000000001</v>
      </c>
      <c r="J67" s="914">
        <v>1</v>
      </c>
      <c r="K67" s="914">
        <v>1</v>
      </c>
      <c r="L67" s="914">
        <v>1.4</v>
      </c>
      <c r="M67" s="914">
        <v>1.5</v>
      </c>
      <c r="N67" s="914">
        <v>1.2</v>
      </c>
      <c r="O67" s="914">
        <v>2.2999999999999998</v>
      </c>
    </row>
    <row r="68" spans="1:15" s="917" customFormat="1" ht="3" customHeight="1">
      <c r="B68" s="898"/>
      <c r="C68" s="918"/>
      <c r="E68" s="914"/>
      <c r="F68" s="914"/>
      <c r="G68" s="914"/>
      <c r="H68" s="914"/>
      <c r="I68" s="914"/>
      <c r="J68" s="914"/>
      <c r="K68" s="914"/>
      <c r="L68" s="914"/>
      <c r="M68" s="914"/>
      <c r="N68" s="914"/>
      <c r="O68" s="914"/>
    </row>
    <row r="69" spans="1:15" s="917" customFormat="1" ht="11.1" customHeight="1">
      <c r="B69" s="898" t="s">
        <v>1121</v>
      </c>
      <c r="C69" s="918" t="s">
        <v>1122</v>
      </c>
      <c r="E69" s="914">
        <v>1.4</v>
      </c>
      <c r="F69" s="914">
        <v>2.9</v>
      </c>
      <c r="G69" s="914">
        <v>2</v>
      </c>
      <c r="H69" s="914">
        <v>3.5</v>
      </c>
      <c r="I69" s="914">
        <v>2</v>
      </c>
      <c r="J69" s="914">
        <v>2.6</v>
      </c>
      <c r="K69" s="914">
        <v>4</v>
      </c>
      <c r="L69" s="914">
        <v>4.0999999999999996</v>
      </c>
      <c r="M69" s="914">
        <v>4.4000000000000004</v>
      </c>
      <c r="N69" s="914">
        <v>4.5</v>
      </c>
      <c r="O69" s="914">
        <v>7.9</v>
      </c>
    </row>
    <row r="70" spans="1:15" ht="3" customHeight="1">
      <c r="I70" s="890"/>
      <c r="J70" s="890"/>
      <c r="K70" s="890"/>
      <c r="L70" s="890"/>
      <c r="M70" s="890"/>
      <c r="N70" s="890"/>
      <c r="O70" s="890"/>
    </row>
    <row r="71" spans="1:15" ht="12" customHeight="1">
      <c r="A71" s="912" t="s">
        <v>1123</v>
      </c>
      <c r="B71" s="913" t="s">
        <v>1124</v>
      </c>
      <c r="C71" s="913"/>
      <c r="D71" s="914"/>
      <c r="E71" s="914">
        <v>2.4</v>
      </c>
      <c r="F71" s="914">
        <v>5.3</v>
      </c>
      <c r="G71" s="914">
        <v>3.3</v>
      </c>
      <c r="H71" s="914">
        <v>6.1</v>
      </c>
      <c r="I71" s="914">
        <v>4.7</v>
      </c>
      <c r="J71" s="914">
        <v>6.8</v>
      </c>
      <c r="K71" s="914">
        <v>7.3</v>
      </c>
      <c r="L71" s="914">
        <v>8</v>
      </c>
      <c r="M71" s="914">
        <v>8</v>
      </c>
      <c r="N71" s="914">
        <v>9.1</v>
      </c>
      <c r="O71" s="914">
        <v>11.6</v>
      </c>
    </row>
    <row r="72" spans="1:15" ht="11.1" customHeight="1">
      <c r="A72" s="917"/>
      <c r="B72" s="898" t="s">
        <v>1125</v>
      </c>
      <c r="C72" s="918" t="s">
        <v>1126</v>
      </c>
      <c r="D72" s="917"/>
      <c r="E72" s="914">
        <v>0.7</v>
      </c>
      <c r="F72" s="914">
        <v>1.6</v>
      </c>
      <c r="G72" s="914">
        <v>0.7</v>
      </c>
      <c r="H72" s="914">
        <v>1.4</v>
      </c>
      <c r="I72" s="914">
        <v>0.5</v>
      </c>
      <c r="J72" s="914">
        <v>0.9</v>
      </c>
      <c r="K72" s="914">
        <v>1.1000000000000001</v>
      </c>
      <c r="L72" s="914">
        <v>1.4</v>
      </c>
      <c r="M72" s="914">
        <v>1</v>
      </c>
      <c r="N72" s="914">
        <v>1.4</v>
      </c>
      <c r="O72" s="914">
        <v>1.5</v>
      </c>
    </row>
    <row r="73" spans="1:15" ht="11.1" customHeight="1">
      <c r="A73" s="917"/>
      <c r="B73" s="898" t="s">
        <v>1127</v>
      </c>
      <c r="C73" s="918" t="s">
        <v>1128</v>
      </c>
      <c r="D73" s="917"/>
      <c r="E73" s="914">
        <v>0.4</v>
      </c>
      <c r="F73" s="914">
        <v>0.7</v>
      </c>
      <c r="G73" s="914">
        <v>0.3</v>
      </c>
      <c r="H73" s="914">
        <v>0.6</v>
      </c>
      <c r="I73" s="920">
        <v>0.3</v>
      </c>
      <c r="J73" s="914">
        <v>0.3</v>
      </c>
      <c r="K73" s="914">
        <v>0.5</v>
      </c>
      <c r="L73" s="914">
        <v>0.6</v>
      </c>
      <c r="M73" s="914">
        <v>0.4</v>
      </c>
      <c r="N73" s="914">
        <v>0.7</v>
      </c>
      <c r="O73" s="914">
        <v>0.6</v>
      </c>
    </row>
    <row r="74" spans="1:15" ht="11.1" customHeight="1">
      <c r="A74" s="917"/>
      <c r="B74" s="898" t="s">
        <v>1129</v>
      </c>
      <c r="C74" s="918" t="s">
        <v>1130</v>
      </c>
      <c r="D74" s="917"/>
      <c r="E74" s="914">
        <v>0.1</v>
      </c>
      <c r="F74" s="914">
        <v>0.1</v>
      </c>
      <c r="G74" s="914">
        <v>0.1</v>
      </c>
      <c r="H74" s="914">
        <v>0.1</v>
      </c>
      <c r="I74" s="920" t="s">
        <v>1036</v>
      </c>
      <c r="J74" s="920">
        <v>0.1</v>
      </c>
      <c r="K74" s="914">
        <v>0.2</v>
      </c>
      <c r="L74" s="914">
        <v>0.2</v>
      </c>
      <c r="M74" s="914">
        <v>0.4</v>
      </c>
      <c r="N74" s="914">
        <v>0.1</v>
      </c>
      <c r="O74" s="920">
        <v>0.1</v>
      </c>
    </row>
    <row r="75" spans="1:15" ht="11.1" customHeight="1">
      <c r="A75" s="917"/>
      <c r="B75" s="898" t="s">
        <v>1131</v>
      </c>
      <c r="C75" s="918" t="s">
        <v>1132</v>
      </c>
      <c r="D75" s="917"/>
      <c r="E75" s="914">
        <v>0.4</v>
      </c>
      <c r="F75" s="914">
        <v>1</v>
      </c>
      <c r="G75" s="914">
        <v>0.7</v>
      </c>
      <c r="H75" s="914">
        <v>1.1000000000000001</v>
      </c>
      <c r="I75" s="914">
        <v>0.9</v>
      </c>
      <c r="J75" s="914">
        <v>1.7</v>
      </c>
      <c r="K75" s="914">
        <v>1.6</v>
      </c>
      <c r="L75" s="914">
        <v>2</v>
      </c>
      <c r="M75" s="914">
        <v>2</v>
      </c>
      <c r="N75" s="914">
        <v>1.7</v>
      </c>
      <c r="O75" s="914">
        <v>2.2999999999999998</v>
      </c>
    </row>
    <row r="76" spans="1:15" ht="11.1" customHeight="1">
      <c r="A76" s="917"/>
      <c r="B76" s="898" t="s">
        <v>1133</v>
      </c>
      <c r="C76" s="918" t="s">
        <v>1134</v>
      </c>
      <c r="D76" s="917"/>
      <c r="E76" s="914">
        <v>0.1</v>
      </c>
      <c r="F76" s="914">
        <v>0.2</v>
      </c>
      <c r="G76" s="914">
        <v>0.2</v>
      </c>
      <c r="H76" s="914">
        <v>0.4</v>
      </c>
      <c r="I76" s="914">
        <v>0.4</v>
      </c>
      <c r="J76" s="914">
        <v>0.4</v>
      </c>
      <c r="K76" s="914">
        <v>0.4</v>
      </c>
      <c r="L76" s="914">
        <v>0.3</v>
      </c>
      <c r="M76" s="914">
        <v>0.7</v>
      </c>
      <c r="N76" s="914">
        <v>0.5</v>
      </c>
      <c r="O76" s="914">
        <v>0.7</v>
      </c>
    </row>
    <row r="77" spans="1:15" ht="11.1" customHeight="1">
      <c r="A77" s="917"/>
      <c r="B77" s="898" t="s">
        <v>1135</v>
      </c>
      <c r="C77" s="918" t="s">
        <v>1136</v>
      </c>
      <c r="D77" s="917"/>
      <c r="E77" s="914">
        <v>0.7</v>
      </c>
      <c r="F77" s="914">
        <v>1.5</v>
      </c>
      <c r="G77" s="914">
        <v>1.4</v>
      </c>
      <c r="H77" s="914">
        <v>2.5</v>
      </c>
      <c r="I77" s="914">
        <v>2.5</v>
      </c>
      <c r="J77" s="914">
        <v>3.5</v>
      </c>
      <c r="K77" s="914">
        <v>3.5</v>
      </c>
      <c r="L77" s="914">
        <v>3.5</v>
      </c>
      <c r="M77" s="914">
        <v>3.6</v>
      </c>
      <c r="N77" s="914">
        <v>4.5999999999999996</v>
      </c>
      <c r="O77" s="914">
        <v>6.4</v>
      </c>
    </row>
    <row r="78" spans="1:15" ht="3" customHeight="1">
      <c r="A78" s="925"/>
      <c r="B78" s="926"/>
      <c r="C78" s="927"/>
      <c r="D78" s="925"/>
      <c r="E78" s="925"/>
      <c r="F78" s="925"/>
      <c r="G78" s="925"/>
      <c r="H78" s="925"/>
      <c r="I78" s="925"/>
      <c r="J78" s="925"/>
      <c r="K78" s="925"/>
      <c r="L78" s="925"/>
      <c r="M78" s="925"/>
      <c r="N78" s="925"/>
      <c r="O78" s="925"/>
    </row>
    <row r="79" spans="1:15" ht="3" customHeight="1">
      <c r="A79" s="917"/>
      <c r="B79" s="898"/>
      <c r="C79" s="918"/>
      <c r="D79" s="917"/>
      <c r="E79" s="917"/>
      <c r="F79" s="917"/>
      <c r="G79" s="917"/>
      <c r="H79" s="917"/>
      <c r="I79" s="917"/>
      <c r="J79" s="917"/>
      <c r="K79" s="917"/>
      <c r="L79" s="917"/>
      <c r="M79" s="917"/>
    </row>
    <row r="80" spans="1:15" ht="10.5" customHeight="1">
      <c r="A80" s="850" t="s">
        <v>1047</v>
      </c>
      <c r="B80" s="898"/>
      <c r="C80" s="918"/>
      <c r="D80" s="917"/>
      <c r="E80" s="917"/>
      <c r="F80" s="917"/>
      <c r="G80" s="917"/>
      <c r="H80" s="917"/>
    </row>
    <row r="81" spans="1:15" ht="10.5" customHeight="1">
      <c r="A81" s="850" t="s">
        <v>1137</v>
      </c>
      <c r="B81" s="898"/>
      <c r="C81" s="918"/>
      <c r="D81" s="917"/>
      <c r="E81" s="917"/>
      <c r="F81" s="917"/>
      <c r="G81" s="917"/>
      <c r="H81" s="917"/>
    </row>
    <row r="82" spans="1:15" ht="10.5" customHeight="1">
      <c r="A82" s="845" t="s">
        <v>1048</v>
      </c>
      <c r="B82" s="898"/>
      <c r="C82" s="918"/>
      <c r="D82" s="917"/>
      <c r="E82" s="917"/>
      <c r="F82" s="917"/>
      <c r="G82" s="917"/>
      <c r="H82" s="917"/>
    </row>
    <row r="83" spans="1:15" ht="10.5" customHeight="1">
      <c r="A83" s="914"/>
      <c r="B83" s="898"/>
      <c r="C83" s="918"/>
      <c r="D83" s="917"/>
      <c r="E83" s="917"/>
      <c r="F83" s="917"/>
      <c r="G83" s="917"/>
      <c r="H83" s="917"/>
    </row>
    <row r="84" spans="1:15" ht="10.5" customHeight="1">
      <c r="A84" s="917"/>
      <c r="B84" s="898"/>
      <c r="C84" s="918"/>
      <c r="D84" s="917"/>
      <c r="E84" s="917"/>
      <c r="F84" s="917"/>
      <c r="G84" s="917"/>
      <c r="H84" s="917"/>
    </row>
    <row r="85" spans="1:15" ht="10.5" customHeight="1">
      <c r="A85" s="798"/>
      <c r="B85" s="898"/>
      <c r="C85" s="918"/>
      <c r="D85" s="917"/>
      <c r="E85" s="917"/>
      <c r="F85" s="917"/>
      <c r="G85" s="917"/>
      <c r="H85" s="917"/>
    </row>
    <row r="89" spans="1:15" ht="15.75" customHeight="1">
      <c r="A89" s="782" t="s">
        <v>919</v>
      </c>
      <c r="B89" s="782"/>
    </row>
    <row r="90" spans="1:15" ht="15.75" customHeight="1">
      <c r="A90" s="782" t="s">
        <v>1052</v>
      </c>
      <c r="B90" s="891"/>
      <c r="C90" s="784"/>
      <c r="D90" s="789"/>
      <c r="E90" s="789"/>
      <c r="F90" s="892"/>
      <c r="G90" s="892"/>
      <c r="H90" s="893"/>
    </row>
    <row r="91" spans="1:15" ht="15.75" customHeight="1">
      <c r="A91" s="792" t="s">
        <v>1053</v>
      </c>
      <c r="B91" s="894"/>
      <c r="C91" s="870"/>
      <c r="D91" s="793"/>
      <c r="E91" s="789"/>
      <c r="F91" s="892"/>
      <c r="G91" s="892"/>
      <c r="H91" s="893"/>
    </row>
    <row r="92" spans="1:15" ht="6" customHeight="1">
      <c r="A92" s="895"/>
      <c r="B92" s="794"/>
      <c r="C92" s="794"/>
      <c r="D92" s="795"/>
      <c r="E92" s="896"/>
      <c r="F92" s="896"/>
      <c r="G92" s="896"/>
      <c r="H92" s="896"/>
      <c r="I92" s="896"/>
      <c r="J92" s="896"/>
      <c r="K92" s="896"/>
      <c r="L92" s="896"/>
      <c r="M92" s="896"/>
    </row>
    <row r="93" spans="1:15" ht="6" customHeight="1">
      <c r="A93" s="898"/>
      <c r="B93" s="800"/>
      <c r="C93" s="800"/>
      <c r="D93" s="801"/>
      <c r="E93" s="899"/>
      <c r="F93" s="899"/>
      <c r="G93" s="899"/>
      <c r="H93" s="899"/>
      <c r="I93" s="801"/>
      <c r="J93" s="899"/>
      <c r="K93" s="801"/>
      <c r="L93" s="899"/>
      <c r="M93" s="801"/>
      <c r="N93" s="900"/>
      <c r="O93" s="900"/>
    </row>
    <row r="94" spans="1:15" ht="12.75" customHeight="1">
      <c r="A94" s="799"/>
      <c r="B94" s="800"/>
      <c r="C94" s="801"/>
      <c r="D94" s="801"/>
      <c r="E94" s="805" t="s">
        <v>912</v>
      </c>
      <c r="F94" s="805"/>
      <c r="G94" s="805" t="s">
        <v>146</v>
      </c>
      <c r="H94" s="806"/>
      <c r="I94" s="805" t="s">
        <v>913</v>
      </c>
      <c r="J94" s="805"/>
      <c r="K94" s="805"/>
      <c r="L94" s="805"/>
      <c r="M94" s="805"/>
      <c r="N94" s="805"/>
      <c r="O94" s="805"/>
    </row>
    <row r="95" spans="1:15" ht="12.75" customHeight="1">
      <c r="A95" s="807"/>
      <c r="C95" s="808"/>
      <c r="D95" s="808"/>
      <c r="E95" s="805"/>
      <c r="F95" s="806"/>
      <c r="G95" s="817" t="s">
        <v>929</v>
      </c>
      <c r="H95" s="813" t="s">
        <v>931</v>
      </c>
      <c r="I95" s="805" t="s">
        <v>922</v>
      </c>
      <c r="J95" s="902"/>
      <c r="K95" s="805" t="s">
        <v>923</v>
      </c>
      <c r="L95" s="902"/>
      <c r="M95" s="806"/>
      <c r="N95" s="903" t="s">
        <v>924</v>
      </c>
      <c r="O95" s="806"/>
    </row>
    <row r="96" spans="1:15" ht="12.75" customHeight="1">
      <c r="A96" s="904"/>
      <c r="B96" s="904"/>
      <c r="C96" s="816"/>
      <c r="D96" s="816"/>
      <c r="E96" s="817" t="s">
        <v>929</v>
      </c>
      <c r="F96" s="817" t="s">
        <v>930</v>
      </c>
      <c r="G96" s="813" t="s">
        <v>935</v>
      </c>
      <c r="H96" s="813" t="s">
        <v>936</v>
      </c>
      <c r="I96" s="817" t="s">
        <v>932</v>
      </c>
      <c r="J96" s="820" t="s">
        <v>932</v>
      </c>
      <c r="K96" s="813" t="s">
        <v>932</v>
      </c>
      <c r="L96" s="820" t="s">
        <v>932</v>
      </c>
      <c r="M96" s="820" t="s">
        <v>932</v>
      </c>
      <c r="N96" s="820" t="s">
        <v>933</v>
      </c>
      <c r="O96" s="820" t="s">
        <v>932</v>
      </c>
    </row>
    <row r="97" spans="1:15" ht="12.75" customHeight="1">
      <c r="A97" s="904"/>
      <c r="B97" s="904"/>
      <c r="C97" s="816"/>
      <c r="D97" s="816"/>
      <c r="E97" s="813" t="s">
        <v>935</v>
      </c>
      <c r="F97" s="817" t="s">
        <v>936</v>
      </c>
      <c r="G97" s="813" t="s">
        <v>26</v>
      </c>
      <c r="H97" s="813"/>
      <c r="I97" s="817" t="s">
        <v>937</v>
      </c>
      <c r="J97" s="817" t="s">
        <v>938</v>
      </c>
      <c r="K97" s="817" t="s">
        <v>937</v>
      </c>
      <c r="L97" s="817" t="s">
        <v>938</v>
      </c>
      <c r="M97" s="817" t="s">
        <v>939</v>
      </c>
      <c r="N97" s="817" t="s">
        <v>940</v>
      </c>
      <c r="O97" s="817" t="s">
        <v>940</v>
      </c>
    </row>
    <row r="98" spans="1:15" ht="12.75" customHeight="1">
      <c r="A98" s="904"/>
      <c r="B98" s="904"/>
      <c r="C98" s="816"/>
      <c r="D98" s="816"/>
      <c r="E98" s="793"/>
      <c r="F98" s="817"/>
      <c r="G98" s="793"/>
      <c r="H98" s="793"/>
      <c r="I98" s="817" t="s">
        <v>941</v>
      </c>
      <c r="J98" s="817" t="s">
        <v>942</v>
      </c>
      <c r="K98" s="817" t="s">
        <v>941</v>
      </c>
      <c r="L98" s="817" t="s">
        <v>940</v>
      </c>
      <c r="M98" s="817" t="s">
        <v>942</v>
      </c>
      <c r="N98" s="813"/>
      <c r="O98" s="813"/>
    </row>
    <row r="99" spans="1:15" ht="12.75" customHeight="1">
      <c r="A99" s="821"/>
      <c r="B99" s="821"/>
      <c r="C99" s="821"/>
      <c r="D99" s="821"/>
      <c r="E99" s="822"/>
      <c r="F99" s="822"/>
      <c r="G99" s="822"/>
      <c r="H99" s="822"/>
      <c r="I99" s="793"/>
      <c r="J99" s="817" t="s">
        <v>940</v>
      </c>
      <c r="K99" s="793"/>
      <c r="L99" s="793"/>
      <c r="M99" s="817" t="s">
        <v>940</v>
      </c>
      <c r="N99" s="793"/>
      <c r="O99" s="793"/>
    </row>
    <row r="100" spans="1:15" ht="6" customHeight="1">
      <c r="A100" s="794"/>
      <c r="B100" s="794"/>
      <c r="C100" s="795"/>
      <c r="D100" s="795"/>
      <c r="E100" s="796"/>
      <c r="F100" s="796"/>
      <c r="G100" s="796"/>
      <c r="H100" s="796"/>
      <c r="I100" s="796"/>
      <c r="J100" s="795"/>
      <c r="K100" s="795"/>
      <c r="L100" s="796"/>
      <c r="M100" s="796"/>
      <c r="N100" s="796"/>
      <c r="O100" s="796"/>
    </row>
    <row r="101" spans="1:15" ht="6" customHeight="1">
      <c r="B101" s="928"/>
      <c r="C101" s="928"/>
      <c r="I101" s="890"/>
      <c r="J101" s="890"/>
      <c r="K101" s="890"/>
      <c r="L101" s="890"/>
      <c r="M101" s="890"/>
    </row>
    <row r="102" spans="1:15" ht="12.75" customHeight="1">
      <c r="A102" s="909" t="s">
        <v>1030</v>
      </c>
      <c r="B102" s="834"/>
      <c r="C102" s="834"/>
      <c r="D102" s="835"/>
      <c r="E102" s="1335" t="s">
        <v>1031</v>
      </c>
      <c r="F102" s="1335"/>
      <c r="G102" s="1335"/>
      <c r="H102" s="1335"/>
      <c r="I102" s="1335"/>
      <c r="J102" s="1335"/>
      <c r="K102" s="1335"/>
      <c r="L102" s="1335"/>
      <c r="M102" s="1335"/>
    </row>
    <row r="103" spans="1:15" ht="6" customHeight="1">
      <c r="A103" s="895"/>
      <c r="B103" s="795"/>
      <c r="C103" s="795"/>
      <c r="D103" s="795"/>
      <c r="E103" s="896"/>
      <c r="F103" s="896"/>
      <c r="G103" s="896"/>
      <c r="H103" s="896"/>
      <c r="I103" s="896"/>
      <c r="J103" s="896"/>
      <c r="K103" s="896"/>
      <c r="L103" s="896"/>
      <c r="M103" s="896"/>
      <c r="N103" s="795"/>
      <c r="O103" s="795"/>
    </row>
    <row r="104" spans="1:15" ht="6" customHeight="1">
      <c r="B104" s="928"/>
      <c r="C104" s="928"/>
      <c r="I104" s="890"/>
      <c r="J104" s="890"/>
      <c r="K104" s="890"/>
      <c r="L104" s="890"/>
      <c r="M104" s="890"/>
      <c r="N104" s="890"/>
      <c r="O104" s="890"/>
    </row>
    <row r="105" spans="1:15" ht="12.75" customHeight="1">
      <c r="A105" s="910" t="s">
        <v>1138</v>
      </c>
      <c r="B105" s="861" t="s">
        <v>1139</v>
      </c>
      <c r="C105" s="861"/>
      <c r="D105" s="862"/>
      <c r="E105" s="911">
        <v>7.8</v>
      </c>
      <c r="F105" s="911">
        <v>15.4</v>
      </c>
      <c r="G105" s="911">
        <v>10</v>
      </c>
      <c r="H105" s="911">
        <v>17.399999999999999</v>
      </c>
      <c r="I105" s="911">
        <v>7.3</v>
      </c>
      <c r="J105" s="911">
        <v>9.1</v>
      </c>
      <c r="K105" s="911">
        <v>12.3</v>
      </c>
      <c r="L105" s="911">
        <v>13</v>
      </c>
      <c r="M105" s="911">
        <v>12.8</v>
      </c>
      <c r="N105" s="911">
        <v>24.4</v>
      </c>
      <c r="O105" s="911">
        <v>19.399999999999999</v>
      </c>
    </row>
    <row r="106" spans="1:15" ht="6" customHeight="1">
      <c r="B106" s="913"/>
      <c r="C106" s="913"/>
      <c r="D106" s="914"/>
      <c r="E106" s="914"/>
      <c r="F106" s="914"/>
      <c r="G106" s="914"/>
      <c r="H106" s="914"/>
      <c r="I106" s="914"/>
      <c r="J106" s="914"/>
      <c r="K106" s="914"/>
      <c r="L106" s="914"/>
      <c r="M106" s="914"/>
      <c r="N106" s="914"/>
      <c r="O106" s="914"/>
    </row>
    <row r="107" spans="1:15" ht="11.1" customHeight="1">
      <c r="A107" s="912" t="s">
        <v>1140</v>
      </c>
      <c r="B107" s="913" t="s">
        <v>1141</v>
      </c>
      <c r="C107" s="913"/>
      <c r="D107" s="914"/>
      <c r="E107" s="914">
        <v>5.4</v>
      </c>
      <c r="F107" s="914">
        <v>13.4</v>
      </c>
      <c r="G107" s="914">
        <v>7.1</v>
      </c>
      <c r="H107" s="914">
        <v>14.4</v>
      </c>
      <c r="I107" s="914">
        <v>5.2</v>
      </c>
      <c r="J107" s="914">
        <v>7.7</v>
      </c>
      <c r="K107" s="914">
        <v>10</v>
      </c>
      <c r="L107" s="914">
        <v>11.6</v>
      </c>
      <c r="M107" s="914">
        <v>10.5</v>
      </c>
      <c r="N107" s="914">
        <v>19</v>
      </c>
      <c r="O107" s="914">
        <v>14.3</v>
      </c>
    </row>
    <row r="108" spans="1:15" ht="11.1" customHeight="1">
      <c r="A108" s="917"/>
      <c r="B108" s="898" t="s">
        <v>1142</v>
      </c>
      <c r="C108" s="918" t="s">
        <v>1143</v>
      </c>
      <c r="D108" s="917"/>
      <c r="E108" s="914">
        <v>1.6</v>
      </c>
      <c r="F108" s="914">
        <v>3.2</v>
      </c>
      <c r="G108" s="914">
        <v>1.5</v>
      </c>
      <c r="H108" s="914">
        <v>2.8</v>
      </c>
      <c r="I108" s="919">
        <v>1.1000000000000001</v>
      </c>
      <c r="J108" s="914">
        <v>2.5</v>
      </c>
      <c r="K108" s="914">
        <v>2.2999999999999998</v>
      </c>
      <c r="L108" s="914">
        <v>2.2999999999999998</v>
      </c>
      <c r="M108" s="914">
        <v>2.6</v>
      </c>
      <c r="N108" s="914">
        <v>3.8</v>
      </c>
      <c r="O108" s="914">
        <v>3.3</v>
      </c>
    </row>
    <row r="109" spans="1:15" ht="11.1" customHeight="1">
      <c r="A109" s="917"/>
      <c r="B109" s="898" t="s">
        <v>1144</v>
      </c>
      <c r="C109" s="918" t="s">
        <v>1145</v>
      </c>
      <c r="D109" s="917"/>
      <c r="E109" s="914">
        <v>2.9</v>
      </c>
      <c r="F109" s="914">
        <v>7.7</v>
      </c>
      <c r="G109" s="914">
        <v>3.2</v>
      </c>
      <c r="H109" s="914">
        <v>7.2</v>
      </c>
      <c r="I109" s="914">
        <v>2.1</v>
      </c>
      <c r="J109" s="914">
        <v>3.9</v>
      </c>
      <c r="K109" s="914">
        <v>4</v>
      </c>
      <c r="L109" s="914">
        <v>5.7</v>
      </c>
      <c r="M109" s="914">
        <v>5.0999999999999996</v>
      </c>
      <c r="N109" s="914">
        <v>8.9</v>
      </c>
      <c r="O109" s="914">
        <v>5.4</v>
      </c>
    </row>
    <row r="110" spans="1:15" ht="11.1" customHeight="1">
      <c r="A110" s="917"/>
      <c r="B110" s="898" t="s">
        <v>1146</v>
      </c>
      <c r="C110" s="918" t="s">
        <v>1147</v>
      </c>
      <c r="D110" s="917"/>
      <c r="E110" s="914">
        <v>1</v>
      </c>
      <c r="F110" s="914">
        <v>2.4</v>
      </c>
      <c r="G110" s="914">
        <v>2.4</v>
      </c>
      <c r="H110" s="914">
        <v>4.3</v>
      </c>
      <c r="I110" s="914">
        <v>2</v>
      </c>
      <c r="J110" s="914">
        <v>1.3</v>
      </c>
      <c r="K110" s="914">
        <v>3.8</v>
      </c>
      <c r="L110" s="914">
        <v>3.6</v>
      </c>
      <c r="M110" s="914">
        <v>2.9</v>
      </c>
      <c r="N110" s="914">
        <v>6.3</v>
      </c>
      <c r="O110" s="914">
        <v>5.6</v>
      </c>
    </row>
    <row r="111" spans="1:15" ht="11.1" customHeight="1">
      <c r="A111" s="917"/>
      <c r="B111" s="898" t="s">
        <v>1148</v>
      </c>
      <c r="C111" s="918" t="s">
        <v>1149</v>
      </c>
      <c r="D111" s="917"/>
      <c r="E111" s="844" t="s">
        <v>1036</v>
      </c>
      <c r="F111" s="844" t="s">
        <v>1036</v>
      </c>
      <c r="G111" s="844" t="s">
        <v>1036</v>
      </c>
      <c r="H111" s="924">
        <v>0</v>
      </c>
      <c r="I111" s="844" t="s">
        <v>1036</v>
      </c>
      <c r="J111" s="844" t="s">
        <v>1036</v>
      </c>
      <c r="K111" s="844" t="s">
        <v>1036</v>
      </c>
      <c r="L111" s="844" t="s">
        <v>1036</v>
      </c>
      <c r="M111" s="844" t="s">
        <v>1036</v>
      </c>
      <c r="N111" s="919">
        <v>0.1</v>
      </c>
      <c r="O111" s="844" t="s">
        <v>1036</v>
      </c>
    </row>
    <row r="112" spans="1:15" ht="6" customHeight="1">
      <c r="B112" s="913"/>
      <c r="C112" s="914"/>
      <c r="D112" s="914"/>
      <c r="E112" s="914"/>
      <c r="F112" s="914"/>
      <c r="G112" s="914"/>
      <c r="H112" s="914"/>
      <c r="I112" s="914"/>
      <c r="J112" s="914"/>
      <c r="K112" s="914"/>
      <c r="L112" s="914"/>
      <c r="M112" s="914"/>
      <c r="N112" s="914"/>
      <c r="O112" s="914"/>
    </row>
    <row r="113" spans="1:15" ht="11.1" customHeight="1">
      <c r="A113" s="912" t="s">
        <v>1150</v>
      </c>
      <c r="B113" s="913" t="s">
        <v>1151</v>
      </c>
      <c r="C113" s="914"/>
      <c r="D113" s="914"/>
      <c r="E113" s="914">
        <v>2.4</v>
      </c>
      <c r="F113" s="914">
        <v>2</v>
      </c>
      <c r="G113" s="914">
        <v>2.9</v>
      </c>
      <c r="H113" s="914">
        <v>3</v>
      </c>
      <c r="I113" s="919">
        <v>2.1</v>
      </c>
      <c r="J113" s="919">
        <v>1.4</v>
      </c>
      <c r="K113" s="914">
        <v>2.2999999999999998</v>
      </c>
      <c r="L113" s="914">
        <v>1.4</v>
      </c>
      <c r="M113" s="919">
        <v>2.2000000000000002</v>
      </c>
      <c r="N113" s="914">
        <v>5.4</v>
      </c>
      <c r="O113" s="914">
        <v>5.0999999999999996</v>
      </c>
    </row>
    <row r="114" spans="1:15" ht="11.1" customHeight="1">
      <c r="A114" s="917"/>
      <c r="B114" s="898" t="s">
        <v>1152</v>
      </c>
      <c r="C114" s="918" t="s">
        <v>151</v>
      </c>
      <c r="D114" s="917"/>
      <c r="E114" s="914">
        <v>1.9</v>
      </c>
      <c r="F114" s="914">
        <v>1.5</v>
      </c>
      <c r="G114" s="914">
        <v>1.8</v>
      </c>
      <c r="H114" s="914">
        <v>1.6</v>
      </c>
      <c r="I114" s="919">
        <v>1.3</v>
      </c>
      <c r="J114" s="919">
        <v>0.7</v>
      </c>
      <c r="K114" s="914">
        <v>1.2</v>
      </c>
      <c r="L114" s="914">
        <v>0.9</v>
      </c>
      <c r="M114" s="920" t="s">
        <v>1036</v>
      </c>
      <c r="N114" s="914">
        <v>3.3</v>
      </c>
      <c r="O114" s="914">
        <v>4</v>
      </c>
    </row>
    <row r="115" spans="1:15" ht="11.1" customHeight="1">
      <c r="A115" s="917"/>
      <c r="B115" s="898" t="s">
        <v>1153</v>
      </c>
      <c r="C115" s="917" t="s">
        <v>1154</v>
      </c>
      <c r="D115" s="917"/>
      <c r="E115" s="919">
        <v>0.5</v>
      </c>
      <c r="F115" s="914">
        <v>0.5</v>
      </c>
      <c r="G115" s="914">
        <v>1.1000000000000001</v>
      </c>
      <c r="H115" s="914">
        <v>1.4</v>
      </c>
      <c r="I115" s="920" t="s">
        <v>1036</v>
      </c>
      <c r="J115" s="920" t="s">
        <v>1036</v>
      </c>
      <c r="K115" s="914">
        <v>1.1000000000000001</v>
      </c>
      <c r="L115" s="914">
        <v>0.5</v>
      </c>
      <c r="M115" s="919">
        <v>0.7</v>
      </c>
      <c r="N115" s="914">
        <v>2.1</v>
      </c>
      <c r="O115" s="919">
        <v>1.1000000000000001</v>
      </c>
    </row>
    <row r="116" spans="1:15" ht="6" customHeight="1">
      <c r="A116" s="929"/>
      <c r="B116" s="930"/>
      <c r="C116" s="930"/>
      <c r="D116" s="931"/>
      <c r="E116" s="932"/>
      <c r="F116" s="932"/>
      <c r="G116" s="932"/>
      <c r="H116" s="932"/>
      <c r="I116" s="932"/>
      <c r="J116" s="932"/>
      <c r="K116" s="932"/>
      <c r="L116" s="932"/>
      <c r="M116" s="932"/>
      <c r="N116" s="932"/>
      <c r="O116" s="932"/>
    </row>
    <row r="117" spans="1:15" ht="6" customHeight="1">
      <c r="B117" s="928"/>
      <c r="C117" s="928"/>
      <c r="E117" s="914"/>
      <c r="F117" s="914"/>
      <c r="G117" s="914"/>
      <c r="H117" s="914"/>
      <c r="I117" s="914"/>
      <c r="J117" s="914"/>
      <c r="K117" s="914"/>
      <c r="L117" s="914"/>
      <c r="M117" s="914"/>
      <c r="N117" s="914"/>
      <c r="O117" s="914"/>
    </row>
    <row r="118" spans="1:15" ht="12.75" customHeight="1">
      <c r="A118" s="910" t="s">
        <v>1155</v>
      </c>
      <c r="B118" s="861" t="s">
        <v>1156</v>
      </c>
      <c r="C118" s="861"/>
      <c r="D118" s="862"/>
      <c r="E118" s="911">
        <v>4.7</v>
      </c>
      <c r="F118" s="911">
        <v>9.6999999999999993</v>
      </c>
      <c r="G118" s="911">
        <v>5.7</v>
      </c>
      <c r="H118" s="911">
        <v>14.5</v>
      </c>
      <c r="I118" s="911">
        <v>13.6</v>
      </c>
      <c r="J118" s="911">
        <v>19.3</v>
      </c>
      <c r="K118" s="911">
        <v>17.3</v>
      </c>
      <c r="L118" s="911">
        <v>22.9</v>
      </c>
      <c r="M118" s="911">
        <v>23.9</v>
      </c>
      <c r="N118" s="911">
        <v>24.4</v>
      </c>
      <c r="O118" s="911">
        <v>40.4</v>
      </c>
    </row>
    <row r="119" spans="1:15" ht="6" customHeight="1">
      <c r="B119" s="913"/>
      <c r="C119" s="913"/>
      <c r="D119" s="914"/>
      <c r="E119" s="914"/>
      <c r="F119" s="914"/>
      <c r="G119" s="914"/>
      <c r="H119" s="914"/>
      <c r="I119" s="914"/>
      <c r="J119" s="914"/>
      <c r="K119" s="914"/>
      <c r="L119" s="914"/>
      <c r="M119" s="914"/>
      <c r="N119" s="914"/>
      <c r="O119" s="914"/>
    </row>
    <row r="120" spans="1:15" ht="11.1" customHeight="1">
      <c r="A120" s="912" t="s">
        <v>1157</v>
      </c>
      <c r="B120" s="913" t="s">
        <v>27</v>
      </c>
      <c r="C120" s="913"/>
      <c r="D120" s="914"/>
      <c r="E120" s="914">
        <v>3.7</v>
      </c>
      <c r="F120" s="914">
        <v>8</v>
      </c>
      <c r="G120" s="914">
        <v>4.8</v>
      </c>
      <c r="H120" s="914">
        <v>12</v>
      </c>
      <c r="I120" s="914">
        <v>12</v>
      </c>
      <c r="J120" s="914">
        <v>15.2</v>
      </c>
      <c r="K120" s="914">
        <v>13.5</v>
      </c>
      <c r="L120" s="914">
        <v>18.600000000000001</v>
      </c>
      <c r="M120" s="914">
        <v>19.8</v>
      </c>
      <c r="N120" s="914">
        <v>19.5</v>
      </c>
      <c r="O120" s="914">
        <v>31.2</v>
      </c>
    </row>
    <row r="121" spans="1:15" ht="11.1" customHeight="1">
      <c r="A121" s="801"/>
      <c r="B121" s="898" t="s">
        <v>1158</v>
      </c>
      <c r="C121" s="918" t="s">
        <v>1159</v>
      </c>
      <c r="D121" s="801"/>
      <c r="E121" s="914">
        <v>0.7</v>
      </c>
      <c r="F121" s="914">
        <v>2</v>
      </c>
      <c r="G121" s="914">
        <v>1.2</v>
      </c>
      <c r="H121" s="914">
        <v>3.3</v>
      </c>
      <c r="I121" s="920" t="s">
        <v>1036</v>
      </c>
      <c r="J121" s="920" t="s">
        <v>1036</v>
      </c>
      <c r="K121" s="914">
        <v>2.6</v>
      </c>
      <c r="L121" s="914">
        <v>4</v>
      </c>
      <c r="M121" s="914">
        <v>3.2</v>
      </c>
      <c r="N121" s="914">
        <v>3.6</v>
      </c>
      <c r="O121" s="914">
        <v>9.5</v>
      </c>
    </row>
    <row r="122" spans="1:15" ht="11.1" customHeight="1">
      <c r="A122" s="917"/>
      <c r="B122" s="898" t="s">
        <v>1160</v>
      </c>
      <c r="C122" s="922" t="s">
        <v>1161</v>
      </c>
      <c r="D122" s="917"/>
      <c r="E122" s="919">
        <v>0.1</v>
      </c>
      <c r="F122" s="914">
        <v>0.3</v>
      </c>
      <c r="G122" s="919">
        <v>0.1</v>
      </c>
      <c r="H122" s="914">
        <v>0.5</v>
      </c>
      <c r="I122" s="920" t="s">
        <v>1036</v>
      </c>
      <c r="J122" s="920" t="s">
        <v>1036</v>
      </c>
      <c r="K122" s="919">
        <v>0.3</v>
      </c>
      <c r="L122" s="914">
        <v>0.4</v>
      </c>
      <c r="M122" s="919">
        <v>0.5</v>
      </c>
      <c r="N122" s="914">
        <v>0.4</v>
      </c>
      <c r="O122" s="914">
        <v>1.5</v>
      </c>
    </row>
    <row r="123" spans="1:15" ht="11.1" customHeight="1">
      <c r="A123" s="921"/>
      <c r="B123" s="898" t="s">
        <v>1162</v>
      </c>
      <c r="C123" s="916" t="s">
        <v>1163</v>
      </c>
      <c r="D123" s="921"/>
      <c r="E123" s="914">
        <v>1.9</v>
      </c>
      <c r="F123" s="914">
        <v>3</v>
      </c>
      <c r="G123" s="914">
        <v>2.1</v>
      </c>
      <c r="H123" s="914">
        <v>5</v>
      </c>
      <c r="I123" s="914">
        <v>4.8</v>
      </c>
      <c r="J123" s="914">
        <v>4.0999999999999996</v>
      </c>
      <c r="K123" s="914">
        <v>5</v>
      </c>
      <c r="L123" s="914">
        <v>5.3</v>
      </c>
      <c r="M123" s="914">
        <v>4.2</v>
      </c>
      <c r="N123" s="914">
        <v>11.5</v>
      </c>
      <c r="O123" s="914">
        <v>11.2</v>
      </c>
    </row>
    <row r="124" spans="1:15" ht="11.1" customHeight="1">
      <c r="A124" s="801"/>
      <c r="B124" s="898" t="s">
        <v>1164</v>
      </c>
      <c r="C124" s="918" t="s">
        <v>1165</v>
      </c>
      <c r="D124" s="801"/>
      <c r="E124" s="914">
        <v>0.3</v>
      </c>
      <c r="F124" s="914">
        <v>0.7</v>
      </c>
      <c r="G124" s="914">
        <v>0.3</v>
      </c>
      <c r="H124" s="914">
        <v>0.8</v>
      </c>
      <c r="I124" s="919">
        <v>1</v>
      </c>
      <c r="J124" s="919">
        <v>1.1000000000000001</v>
      </c>
      <c r="K124" s="914">
        <v>1</v>
      </c>
      <c r="L124" s="914">
        <v>1.1000000000000001</v>
      </c>
      <c r="M124" s="914">
        <v>0.9</v>
      </c>
      <c r="N124" s="914">
        <v>1.1000000000000001</v>
      </c>
      <c r="O124" s="914">
        <v>2.1</v>
      </c>
    </row>
    <row r="125" spans="1:15" ht="6" customHeight="1">
      <c r="A125" s="801"/>
      <c r="B125" s="898"/>
      <c r="C125" s="918"/>
      <c r="D125" s="801"/>
      <c r="E125" s="914"/>
      <c r="F125" s="914"/>
      <c r="G125" s="914"/>
      <c r="H125" s="914"/>
      <c r="I125" s="914"/>
      <c r="J125" s="914"/>
      <c r="K125" s="914"/>
      <c r="L125" s="914"/>
      <c r="M125" s="914"/>
      <c r="N125" s="914"/>
      <c r="O125" s="914"/>
    </row>
    <row r="126" spans="1:15" ht="11.1" customHeight="1">
      <c r="A126" s="917"/>
      <c r="B126" s="898" t="s">
        <v>1166</v>
      </c>
      <c r="C126" s="918" t="s">
        <v>1167</v>
      </c>
      <c r="D126" s="917"/>
      <c r="E126" s="844" t="s">
        <v>1036</v>
      </c>
      <c r="F126" s="919">
        <v>0.1</v>
      </c>
      <c r="G126" s="844" t="s">
        <v>1036</v>
      </c>
      <c r="H126" s="914">
        <v>0.2</v>
      </c>
      <c r="I126" s="919">
        <v>1.3</v>
      </c>
      <c r="J126" s="919">
        <v>3.2</v>
      </c>
      <c r="K126" s="914">
        <v>0.8</v>
      </c>
      <c r="L126" s="914">
        <v>2</v>
      </c>
      <c r="M126" s="914">
        <v>4.8</v>
      </c>
      <c r="N126" s="920" t="s">
        <v>1036</v>
      </c>
      <c r="O126" s="914">
        <v>1.7</v>
      </c>
    </row>
    <row r="127" spans="1:15" ht="11.1" customHeight="1">
      <c r="A127" s="917"/>
      <c r="B127" s="898" t="s">
        <v>1168</v>
      </c>
      <c r="C127" s="801" t="s">
        <v>1169</v>
      </c>
      <c r="D127" s="917"/>
      <c r="E127" s="844" t="s">
        <v>1036</v>
      </c>
      <c r="F127" s="919">
        <v>0.3</v>
      </c>
      <c r="G127" s="844" t="s">
        <v>1036</v>
      </c>
      <c r="H127" s="914">
        <v>0.2</v>
      </c>
      <c r="I127" s="919">
        <v>1.9</v>
      </c>
      <c r="J127" s="919">
        <v>2.7</v>
      </c>
      <c r="K127" s="914">
        <v>1</v>
      </c>
      <c r="L127" s="914">
        <v>2.2999999999999998</v>
      </c>
      <c r="M127" s="914">
        <v>2</v>
      </c>
      <c r="N127" s="919">
        <v>0.2</v>
      </c>
      <c r="O127" s="914">
        <v>1.7</v>
      </c>
    </row>
    <row r="128" spans="1:15" ht="11.1" customHeight="1">
      <c r="A128" s="801"/>
      <c r="B128" s="898" t="s">
        <v>1170</v>
      </c>
      <c r="C128" s="916" t="s">
        <v>1171</v>
      </c>
      <c r="D128" s="801"/>
      <c r="E128" s="844" t="s">
        <v>1036</v>
      </c>
      <c r="F128" s="919">
        <v>0.2</v>
      </c>
      <c r="G128" s="919">
        <v>0.1</v>
      </c>
      <c r="H128" s="914">
        <v>0.3</v>
      </c>
      <c r="I128" s="920" t="s">
        <v>1036</v>
      </c>
      <c r="J128" s="920" t="s">
        <v>1036</v>
      </c>
      <c r="K128" s="914">
        <v>1</v>
      </c>
      <c r="L128" s="914">
        <v>1.1000000000000001</v>
      </c>
      <c r="M128" s="919">
        <v>1.7</v>
      </c>
      <c r="N128" s="919">
        <v>0.5</v>
      </c>
      <c r="O128" s="920" t="s">
        <v>1036</v>
      </c>
    </row>
    <row r="129" spans="1:15" ht="11.1" customHeight="1">
      <c r="A129" s="801"/>
      <c r="B129" s="898" t="s">
        <v>1172</v>
      </c>
      <c r="C129" s="918" t="s">
        <v>1173</v>
      </c>
      <c r="D129" s="801"/>
      <c r="E129" s="844" t="s">
        <v>1036</v>
      </c>
      <c r="F129" s="844" t="s">
        <v>1036</v>
      </c>
      <c r="G129" s="919">
        <v>0.1</v>
      </c>
      <c r="H129" s="914">
        <v>0.2</v>
      </c>
      <c r="I129" s="919">
        <v>0.7</v>
      </c>
      <c r="J129" s="919">
        <v>0.9</v>
      </c>
      <c r="K129" s="914">
        <v>0.5</v>
      </c>
      <c r="L129" s="914">
        <v>1.1000000000000001</v>
      </c>
      <c r="M129" s="914">
        <v>1.3</v>
      </c>
      <c r="N129" s="919">
        <v>0.2</v>
      </c>
      <c r="O129" s="919">
        <v>0.8</v>
      </c>
    </row>
    <row r="130" spans="1:15" ht="6" customHeight="1">
      <c r="A130" s="801"/>
      <c r="B130" s="898"/>
      <c r="C130" s="918"/>
      <c r="D130" s="801"/>
      <c r="E130" s="914"/>
      <c r="F130" s="914"/>
      <c r="G130" s="914"/>
      <c r="H130" s="914"/>
      <c r="I130" s="914"/>
      <c r="J130" s="914"/>
      <c r="K130" s="914"/>
      <c r="L130" s="914"/>
      <c r="M130" s="914"/>
      <c r="N130" s="914"/>
      <c r="O130" s="914"/>
    </row>
    <row r="131" spans="1:15" ht="11.1" customHeight="1">
      <c r="A131" s="917"/>
      <c r="B131" s="898" t="s">
        <v>1174</v>
      </c>
      <c r="C131" s="922" t="s">
        <v>1175</v>
      </c>
      <c r="D131" s="917"/>
      <c r="E131" s="914">
        <v>0.4</v>
      </c>
      <c r="F131" s="914">
        <v>0.9</v>
      </c>
      <c r="G131" s="914">
        <v>0.5</v>
      </c>
      <c r="H131" s="914">
        <v>0.9</v>
      </c>
      <c r="I131" s="919">
        <v>0.6</v>
      </c>
      <c r="J131" s="919">
        <v>0.4</v>
      </c>
      <c r="K131" s="914">
        <v>0.9</v>
      </c>
      <c r="L131" s="914">
        <v>0.9</v>
      </c>
      <c r="M131" s="914">
        <v>1.1000000000000001</v>
      </c>
      <c r="N131" s="914">
        <v>1.2</v>
      </c>
      <c r="O131" s="914">
        <v>1.6</v>
      </c>
    </row>
    <row r="132" spans="1:15" ht="11.1" customHeight="1">
      <c r="A132" s="921"/>
      <c r="B132" s="898" t="s">
        <v>1176</v>
      </c>
      <c r="C132" s="916" t="s">
        <v>1177</v>
      </c>
      <c r="D132" s="921"/>
      <c r="E132" s="914">
        <v>0.2</v>
      </c>
      <c r="F132" s="914">
        <v>0.4</v>
      </c>
      <c r="G132" s="914">
        <v>0.2</v>
      </c>
      <c r="H132" s="914">
        <v>0.5</v>
      </c>
      <c r="I132" s="920" t="s">
        <v>1036</v>
      </c>
      <c r="J132" s="920" t="s">
        <v>1036</v>
      </c>
      <c r="K132" s="919">
        <v>0.1</v>
      </c>
      <c r="L132" s="914">
        <v>0.3</v>
      </c>
      <c r="M132" s="920" t="s">
        <v>1036</v>
      </c>
      <c r="N132" s="914">
        <v>0.6</v>
      </c>
      <c r="O132" s="919">
        <v>0.4</v>
      </c>
    </row>
    <row r="133" spans="1:15" ht="11.1" customHeight="1">
      <c r="A133" s="801"/>
      <c r="B133" s="898" t="s">
        <v>1178</v>
      </c>
      <c r="C133" s="918" t="s">
        <v>1179</v>
      </c>
      <c r="D133" s="801"/>
      <c r="E133" s="920" t="s">
        <v>1036</v>
      </c>
      <c r="F133" s="920" t="s">
        <v>1036</v>
      </c>
      <c r="G133" s="920" t="s">
        <v>1036</v>
      </c>
      <c r="H133" s="919">
        <v>0.1</v>
      </c>
      <c r="I133" s="844" t="s">
        <v>1035</v>
      </c>
      <c r="J133" s="920" t="s">
        <v>1036</v>
      </c>
      <c r="K133" s="920" t="s">
        <v>1036</v>
      </c>
      <c r="L133" s="920" t="s">
        <v>1036</v>
      </c>
      <c r="M133" s="920" t="s">
        <v>1036</v>
      </c>
      <c r="N133" s="920" t="s">
        <v>1036</v>
      </c>
      <c r="O133" s="844" t="s">
        <v>1035</v>
      </c>
    </row>
    <row r="134" spans="1:15" ht="6" customHeight="1">
      <c r="B134" s="913"/>
      <c r="C134" s="914"/>
      <c r="D134" s="914"/>
      <c r="E134" s="914"/>
      <c r="F134" s="914"/>
      <c r="G134" s="914"/>
      <c r="H134" s="914"/>
      <c r="I134" s="914"/>
      <c r="J134" s="914"/>
      <c r="K134" s="914"/>
      <c r="L134" s="914"/>
      <c r="M134" s="914"/>
      <c r="N134" s="914"/>
      <c r="O134" s="914"/>
    </row>
    <row r="135" spans="1:15" ht="11.1" customHeight="1">
      <c r="A135" s="912" t="s">
        <v>1180</v>
      </c>
      <c r="B135" s="913" t="s">
        <v>1181</v>
      </c>
      <c r="C135" s="914"/>
      <c r="D135" s="914"/>
      <c r="E135" s="914">
        <v>0.9</v>
      </c>
      <c r="F135" s="914">
        <v>1.7</v>
      </c>
      <c r="G135" s="914">
        <v>0.9</v>
      </c>
      <c r="H135" s="914">
        <v>2.5</v>
      </c>
      <c r="I135" s="919">
        <v>1.6</v>
      </c>
      <c r="J135" s="914">
        <v>4.0999999999999996</v>
      </c>
      <c r="K135" s="914">
        <v>3.8</v>
      </c>
      <c r="L135" s="914">
        <v>4.2</v>
      </c>
      <c r="M135" s="914">
        <v>4.0999999999999996</v>
      </c>
      <c r="N135" s="914">
        <v>4.9000000000000004</v>
      </c>
      <c r="O135" s="914">
        <v>9.1999999999999993</v>
      </c>
    </row>
    <row r="136" spans="1:15" ht="6" customHeight="1">
      <c r="A136" s="895"/>
      <c r="B136" s="933"/>
      <c r="C136" s="933"/>
      <c r="D136" s="934"/>
      <c r="E136" s="934"/>
      <c r="F136" s="934"/>
      <c r="G136" s="934"/>
      <c r="H136" s="934"/>
      <c r="I136" s="934"/>
      <c r="J136" s="934"/>
      <c r="K136" s="934"/>
      <c r="L136" s="934"/>
      <c r="M136" s="934"/>
      <c r="N136" s="934"/>
      <c r="O136" s="934"/>
    </row>
    <row r="137" spans="1:15" ht="6" customHeight="1">
      <c r="B137" s="928"/>
      <c r="C137" s="928"/>
      <c r="E137" s="914"/>
      <c r="F137" s="914"/>
      <c r="G137" s="914"/>
      <c r="H137" s="914"/>
      <c r="I137" s="914"/>
      <c r="J137" s="914"/>
      <c r="K137" s="914"/>
      <c r="L137" s="914"/>
      <c r="M137" s="914"/>
      <c r="N137" s="914"/>
      <c r="O137" s="914"/>
    </row>
    <row r="138" spans="1:15" ht="12.75" customHeight="1">
      <c r="A138" s="935" t="s">
        <v>1182</v>
      </c>
      <c r="B138" s="936" t="s">
        <v>1183</v>
      </c>
      <c r="C138" s="936"/>
      <c r="D138" s="937"/>
      <c r="E138" s="938">
        <v>46.1</v>
      </c>
      <c r="F138" s="938">
        <v>54.5</v>
      </c>
      <c r="G138" s="938">
        <v>72.8</v>
      </c>
      <c r="H138" s="938">
        <v>98.1</v>
      </c>
      <c r="I138" s="938">
        <v>97.3</v>
      </c>
      <c r="J138" s="938">
        <v>132.5</v>
      </c>
      <c r="K138" s="938">
        <v>101.4</v>
      </c>
      <c r="L138" s="938">
        <v>93.9</v>
      </c>
      <c r="M138" s="938">
        <v>119.1</v>
      </c>
      <c r="N138" s="938">
        <v>111.4</v>
      </c>
      <c r="O138" s="938">
        <v>91.1</v>
      </c>
    </row>
    <row r="139" spans="1:15" ht="6" customHeight="1">
      <c r="B139" s="928"/>
      <c r="C139" s="928"/>
      <c r="I139" s="890"/>
      <c r="J139" s="890"/>
      <c r="K139" s="890"/>
      <c r="L139" s="890"/>
      <c r="M139" s="890"/>
      <c r="N139" s="890"/>
      <c r="O139" s="890"/>
    </row>
    <row r="140" spans="1:15" ht="11.1" customHeight="1">
      <c r="A140" s="912" t="s">
        <v>1184</v>
      </c>
      <c r="B140" s="913" t="s">
        <v>1185</v>
      </c>
      <c r="C140" s="913"/>
      <c r="D140" s="914"/>
      <c r="E140" s="914">
        <v>29.7</v>
      </c>
      <c r="F140" s="914">
        <v>11.7</v>
      </c>
      <c r="G140" s="914">
        <v>59.3</v>
      </c>
      <c r="H140" s="914">
        <v>57.6</v>
      </c>
      <c r="I140" s="914">
        <v>82.6</v>
      </c>
      <c r="J140" s="914">
        <v>135.5</v>
      </c>
      <c r="K140" s="914">
        <v>59.1</v>
      </c>
      <c r="L140" s="914">
        <v>39.9</v>
      </c>
      <c r="M140" s="914">
        <v>84.5</v>
      </c>
      <c r="N140" s="914">
        <v>67.900000000000006</v>
      </c>
      <c r="O140" s="914">
        <v>42.2</v>
      </c>
    </row>
    <row r="141" spans="1:15" ht="11.1" customHeight="1">
      <c r="B141" s="799" t="s">
        <v>1186</v>
      </c>
      <c r="C141" s="799" t="s">
        <v>1187</v>
      </c>
      <c r="D141" s="914"/>
      <c r="E141" s="914">
        <v>29.7</v>
      </c>
      <c r="F141" s="914">
        <v>11.5</v>
      </c>
      <c r="G141" s="914">
        <v>59.3</v>
      </c>
      <c r="H141" s="914">
        <v>57.5</v>
      </c>
      <c r="I141" s="914">
        <v>82.6</v>
      </c>
      <c r="J141" s="914">
        <v>135.5</v>
      </c>
      <c r="K141" s="914">
        <v>58.9</v>
      </c>
      <c r="L141" s="914">
        <v>39.9</v>
      </c>
      <c r="M141" s="914">
        <v>84.5</v>
      </c>
      <c r="N141" s="914">
        <v>67.8</v>
      </c>
      <c r="O141" s="914">
        <v>41</v>
      </c>
    </row>
    <row r="142" spans="1:15" ht="11.1" customHeight="1">
      <c r="B142" s="799" t="s">
        <v>1188</v>
      </c>
      <c r="C142" s="939" t="s">
        <v>1189</v>
      </c>
      <c r="D142" s="914"/>
      <c r="E142" s="914">
        <v>18.399999999999999</v>
      </c>
      <c r="F142" s="914">
        <v>5.2</v>
      </c>
      <c r="G142" s="914">
        <v>16.2</v>
      </c>
      <c r="H142" s="914">
        <v>3.2</v>
      </c>
      <c r="I142" s="914">
        <v>14.8</v>
      </c>
      <c r="J142" s="914">
        <v>41.3</v>
      </c>
      <c r="K142" s="914">
        <v>2.6</v>
      </c>
      <c r="L142" s="919">
        <v>2.1</v>
      </c>
      <c r="M142" s="919">
        <v>17.3</v>
      </c>
      <c r="N142" s="914">
        <v>8.6</v>
      </c>
      <c r="O142" s="919">
        <v>11</v>
      </c>
    </row>
    <row r="143" spans="1:15" ht="11.1" customHeight="1">
      <c r="B143" s="799" t="s">
        <v>1190</v>
      </c>
      <c r="C143" s="799" t="s">
        <v>1191</v>
      </c>
      <c r="D143" s="914"/>
      <c r="E143" s="914">
        <v>11.2</v>
      </c>
      <c r="F143" s="914">
        <v>6.4</v>
      </c>
      <c r="G143" s="914">
        <v>43.1</v>
      </c>
      <c r="H143" s="914">
        <v>54.3</v>
      </c>
      <c r="I143" s="914">
        <v>67.8</v>
      </c>
      <c r="J143" s="914">
        <v>94.2</v>
      </c>
      <c r="K143" s="914">
        <v>56.3</v>
      </c>
      <c r="L143" s="914">
        <v>37.700000000000003</v>
      </c>
      <c r="M143" s="914">
        <v>67.2</v>
      </c>
      <c r="N143" s="914">
        <v>59.2</v>
      </c>
      <c r="O143" s="914">
        <v>30</v>
      </c>
    </row>
    <row r="144" spans="1:15" ht="11.1" customHeight="1">
      <c r="B144" s="799" t="s">
        <v>1192</v>
      </c>
      <c r="C144" s="918" t="s">
        <v>1193</v>
      </c>
      <c r="D144" s="914"/>
      <c r="E144" s="844" t="s">
        <v>1036</v>
      </c>
      <c r="F144" s="844" t="s">
        <v>1036</v>
      </c>
      <c r="G144" s="844" t="s">
        <v>1036</v>
      </c>
      <c r="H144" s="844" t="s">
        <v>1036</v>
      </c>
      <c r="I144" s="844" t="s">
        <v>1035</v>
      </c>
      <c r="J144" s="844" t="s">
        <v>1035</v>
      </c>
      <c r="K144" s="844" t="s">
        <v>1036</v>
      </c>
      <c r="L144" s="844" t="s">
        <v>1035</v>
      </c>
      <c r="M144" s="844" t="s">
        <v>1035</v>
      </c>
      <c r="N144" s="844" t="s">
        <v>1036</v>
      </c>
      <c r="O144" s="844" t="s">
        <v>1036</v>
      </c>
    </row>
    <row r="145" spans="1:15" ht="6" customHeight="1">
      <c r="B145" s="799"/>
      <c r="C145" s="918"/>
      <c r="D145" s="914"/>
      <c r="E145" s="914"/>
      <c r="F145" s="914"/>
      <c r="G145" s="914"/>
      <c r="H145" s="914"/>
      <c r="I145" s="914"/>
      <c r="J145" s="914"/>
      <c r="K145" s="914"/>
      <c r="L145" s="914"/>
      <c r="M145" s="914"/>
      <c r="N145" s="914"/>
      <c r="O145" s="914"/>
    </row>
    <row r="146" spans="1:15" ht="11.1" customHeight="1">
      <c r="A146" s="940" t="s">
        <v>1194</v>
      </c>
      <c r="B146" s="913" t="s">
        <v>1195</v>
      </c>
      <c r="C146" s="913"/>
      <c r="D146" s="914"/>
      <c r="E146" s="914">
        <v>6.8</v>
      </c>
      <c r="F146" s="914">
        <v>11.9</v>
      </c>
      <c r="G146" s="914">
        <v>4.7</v>
      </c>
      <c r="H146" s="914">
        <v>11.1</v>
      </c>
      <c r="I146" s="914">
        <v>2.5</v>
      </c>
      <c r="J146" s="914">
        <v>6</v>
      </c>
      <c r="K146" s="914">
        <v>9.5</v>
      </c>
      <c r="L146" s="914">
        <v>18.2</v>
      </c>
      <c r="M146" s="914">
        <v>11.8</v>
      </c>
      <c r="N146" s="914">
        <v>11.5</v>
      </c>
      <c r="O146" s="914">
        <v>15</v>
      </c>
    </row>
    <row r="147" spans="1:15" ht="11.1" customHeight="1">
      <c r="A147" s="941" t="s">
        <v>1196</v>
      </c>
      <c r="B147" s="942" t="s">
        <v>1197</v>
      </c>
      <c r="C147" s="942"/>
      <c r="D147" s="943"/>
      <c r="E147" s="943"/>
      <c r="F147" s="943"/>
      <c r="G147" s="943"/>
      <c r="H147" s="943"/>
      <c r="I147" s="943"/>
      <c r="J147" s="943"/>
      <c r="K147" s="943"/>
      <c r="L147" s="943"/>
      <c r="M147" s="943"/>
      <c r="N147" s="943"/>
      <c r="O147" s="943"/>
    </row>
    <row r="148" spans="1:15" ht="11.1" customHeight="1">
      <c r="A148" s="944"/>
      <c r="B148" s="945" t="s">
        <v>1198</v>
      </c>
      <c r="C148" s="945"/>
      <c r="D148" s="943"/>
      <c r="E148" s="943">
        <v>9.1</v>
      </c>
      <c r="F148" s="943">
        <v>10</v>
      </c>
      <c r="G148" s="943">
        <v>8.8000000000000007</v>
      </c>
      <c r="H148" s="943">
        <v>10.8</v>
      </c>
      <c r="I148" s="943">
        <v>7.5</v>
      </c>
      <c r="J148" s="943">
        <v>8.1999999999999993</v>
      </c>
      <c r="K148" s="943">
        <v>10.3</v>
      </c>
      <c r="L148" s="943">
        <v>10</v>
      </c>
      <c r="M148" s="943">
        <v>10</v>
      </c>
      <c r="N148" s="943">
        <v>11.3</v>
      </c>
      <c r="O148" s="943">
        <v>10.9</v>
      </c>
    </row>
    <row r="149" spans="1:15" ht="6" customHeight="1">
      <c r="A149" s="944"/>
      <c r="B149" s="946"/>
      <c r="C149" s="946"/>
      <c r="D149" s="943"/>
      <c r="E149" s="947"/>
      <c r="F149" s="947"/>
      <c r="G149" s="948"/>
      <c r="H149" s="948"/>
      <c r="I149" s="947"/>
      <c r="J149" s="947"/>
      <c r="K149" s="947"/>
      <c r="L149" s="947"/>
      <c r="M149" s="947"/>
      <c r="N149" s="947"/>
      <c r="O149" s="947"/>
    </row>
    <row r="150" spans="1:15" ht="11.1" customHeight="1">
      <c r="A150" s="941" t="s">
        <v>1199</v>
      </c>
      <c r="B150" s="946" t="s">
        <v>1200</v>
      </c>
      <c r="C150" s="943"/>
      <c r="D150" s="943"/>
      <c r="E150" s="943">
        <v>18.899999999999999</v>
      </c>
      <c r="F150" s="943">
        <v>26.2</v>
      </c>
      <c r="G150" s="943">
        <v>16.100000000000001</v>
      </c>
      <c r="H150" s="943">
        <v>21.8</v>
      </c>
      <c r="I150" s="943">
        <v>19.5</v>
      </c>
      <c r="J150" s="943">
        <v>24</v>
      </c>
      <c r="K150" s="943">
        <v>25.2</v>
      </c>
      <c r="L150" s="943">
        <v>28</v>
      </c>
      <c r="M150" s="943">
        <v>30.2</v>
      </c>
      <c r="N150" s="943">
        <v>29.1</v>
      </c>
      <c r="O150" s="943">
        <v>33.9</v>
      </c>
    </row>
    <row r="151" spans="1:15" ht="11.1" customHeight="1">
      <c r="A151" s="917"/>
      <c r="B151" s="898" t="s">
        <v>1201</v>
      </c>
      <c r="C151" s="918" t="s">
        <v>113</v>
      </c>
      <c r="D151" s="917"/>
      <c r="E151" s="914">
        <v>9.6999999999999993</v>
      </c>
      <c r="F151" s="914">
        <v>13.4</v>
      </c>
      <c r="G151" s="914">
        <v>9.4</v>
      </c>
      <c r="H151" s="914">
        <v>11.8</v>
      </c>
      <c r="I151" s="914">
        <v>10.199999999999999</v>
      </c>
      <c r="J151" s="914">
        <v>12.9</v>
      </c>
      <c r="K151" s="914">
        <v>13.8</v>
      </c>
      <c r="L151" s="914">
        <v>14.8</v>
      </c>
      <c r="M151" s="914">
        <v>15.8</v>
      </c>
      <c r="N151" s="914">
        <v>15.8</v>
      </c>
      <c r="O151" s="914">
        <v>17.5</v>
      </c>
    </row>
    <row r="152" spans="1:15" ht="11.1" customHeight="1">
      <c r="A152" s="917"/>
      <c r="B152" s="898" t="s">
        <v>1202</v>
      </c>
      <c r="C152" s="918" t="s">
        <v>112</v>
      </c>
      <c r="D152" s="917"/>
      <c r="E152" s="914">
        <v>8.3000000000000007</v>
      </c>
      <c r="F152" s="914">
        <v>10.6</v>
      </c>
      <c r="G152" s="914">
        <v>6.2</v>
      </c>
      <c r="H152" s="914">
        <v>8.8000000000000007</v>
      </c>
      <c r="I152" s="914">
        <v>9</v>
      </c>
      <c r="J152" s="914">
        <v>10.4</v>
      </c>
      <c r="K152" s="914">
        <v>10.1</v>
      </c>
      <c r="L152" s="914">
        <v>11.8</v>
      </c>
      <c r="M152" s="914">
        <v>13.6</v>
      </c>
      <c r="N152" s="914">
        <v>12.1</v>
      </c>
      <c r="O152" s="914">
        <v>14.8</v>
      </c>
    </row>
    <row r="153" spans="1:15" ht="11.1" customHeight="1">
      <c r="A153" s="917"/>
      <c r="B153" s="898" t="s">
        <v>1203</v>
      </c>
      <c r="C153" s="917" t="s">
        <v>1204</v>
      </c>
      <c r="D153" s="917"/>
      <c r="E153" s="914">
        <v>1</v>
      </c>
      <c r="F153" s="914">
        <v>2.2999999999999998</v>
      </c>
      <c r="G153" s="914">
        <v>0.5</v>
      </c>
      <c r="H153" s="914">
        <v>1.2</v>
      </c>
      <c r="I153" s="920" t="s">
        <v>1036</v>
      </c>
      <c r="J153" s="920" t="s">
        <v>1036</v>
      </c>
      <c r="K153" s="914">
        <v>1.3</v>
      </c>
      <c r="L153" s="914">
        <v>1.4</v>
      </c>
      <c r="M153" s="919">
        <v>0.7</v>
      </c>
      <c r="N153" s="914">
        <v>1.2</v>
      </c>
      <c r="O153" s="919">
        <v>1.7</v>
      </c>
    </row>
    <row r="154" spans="1:15" ht="34.950000000000003" customHeight="1">
      <c r="A154" s="895"/>
      <c r="B154" s="949"/>
      <c r="C154" s="949"/>
      <c r="D154" s="949"/>
      <c r="E154" s="950">
        <f>SUM(E148+E150)/E138</f>
        <v>0.6073752711496746</v>
      </c>
      <c r="F154" s="950">
        <f t="shared" ref="F154:O154" si="0">SUM(F148+F150)/F138</f>
        <v>0.66422018348623857</v>
      </c>
      <c r="G154" s="950">
        <f t="shared" si="0"/>
        <v>0.34203296703296709</v>
      </c>
      <c r="H154" s="950">
        <f t="shared" si="0"/>
        <v>0.33231396534148833</v>
      </c>
      <c r="I154" s="950">
        <f t="shared" si="0"/>
        <v>0.27749229188078112</v>
      </c>
      <c r="J154" s="950">
        <f t="shared" si="0"/>
        <v>0.24301886792452831</v>
      </c>
      <c r="K154" s="950">
        <f t="shared" si="0"/>
        <v>0.35009861932938852</v>
      </c>
      <c r="L154" s="950">
        <f t="shared" si="0"/>
        <v>0.40468583599574015</v>
      </c>
      <c r="M154" s="950">
        <f t="shared" si="0"/>
        <v>0.33753148614609574</v>
      </c>
      <c r="N154" s="950">
        <f t="shared" si="0"/>
        <v>0.36265709156193898</v>
      </c>
      <c r="O154" s="950">
        <f t="shared" si="0"/>
        <v>0.49176728869374314</v>
      </c>
    </row>
    <row r="155" spans="1:15" ht="6" customHeight="1">
      <c r="A155" s="798"/>
      <c r="B155" s="928"/>
      <c r="C155" s="928"/>
      <c r="E155" s="914"/>
      <c r="F155" s="914"/>
      <c r="G155" s="914"/>
      <c r="H155" s="914"/>
      <c r="I155" s="914"/>
      <c r="J155" s="914"/>
      <c r="K155" s="914"/>
      <c r="L155" s="914"/>
      <c r="M155" s="914"/>
    </row>
    <row r="156" spans="1:15" ht="11.1" customHeight="1">
      <c r="A156" s="850" t="s">
        <v>1047</v>
      </c>
      <c r="B156" s="928"/>
      <c r="C156" s="928"/>
      <c r="E156" s="914"/>
      <c r="F156" s="914"/>
      <c r="G156" s="914"/>
      <c r="H156" s="914"/>
      <c r="I156" s="914"/>
      <c r="J156" s="914"/>
      <c r="K156" s="914"/>
      <c r="L156" s="914"/>
      <c r="M156" s="914"/>
    </row>
    <row r="157" spans="1:15" ht="11.1" customHeight="1">
      <c r="A157" s="850" t="s">
        <v>1137</v>
      </c>
      <c r="B157" s="928"/>
      <c r="C157" s="928"/>
      <c r="E157" s="914"/>
      <c r="F157" s="914"/>
      <c r="G157" s="914"/>
      <c r="H157" s="914"/>
      <c r="I157" s="914"/>
      <c r="J157" s="914"/>
      <c r="K157" s="914"/>
      <c r="L157" s="914"/>
      <c r="M157" s="914"/>
    </row>
    <row r="158" spans="1:15" ht="11.1" customHeight="1">
      <c r="A158" s="845" t="s">
        <v>1048</v>
      </c>
      <c r="B158" s="928"/>
      <c r="C158" s="928"/>
      <c r="E158" s="914"/>
      <c r="F158" s="914"/>
      <c r="G158" s="914"/>
      <c r="H158" s="914"/>
      <c r="I158" s="914"/>
      <c r="J158" s="914"/>
      <c r="K158" s="914"/>
      <c r="L158" s="914"/>
      <c r="M158" s="914"/>
    </row>
    <row r="159" spans="1:15" ht="11.1" customHeight="1">
      <c r="A159" s="951" t="s">
        <v>1205</v>
      </c>
      <c r="B159" s="928"/>
      <c r="C159" s="928"/>
      <c r="E159" s="914"/>
      <c r="F159" s="914"/>
      <c r="G159" s="914"/>
      <c r="H159" s="914"/>
      <c r="I159" s="914"/>
      <c r="J159" s="914"/>
      <c r="K159" s="914"/>
      <c r="L159" s="914"/>
      <c r="M159" s="914"/>
    </row>
    <row r="160" spans="1:15" ht="11.1" customHeight="1">
      <c r="A160" s="951" t="s">
        <v>1206</v>
      </c>
      <c r="B160" s="928"/>
      <c r="C160" s="928"/>
      <c r="E160" s="798"/>
      <c r="F160" s="914"/>
      <c r="G160" s="914"/>
      <c r="H160" s="914"/>
      <c r="I160" s="914"/>
      <c r="J160" s="914"/>
      <c r="K160" s="914"/>
      <c r="L160" s="914"/>
      <c r="M160" s="914"/>
    </row>
    <row r="161" spans="1:15" ht="11.1" customHeight="1">
      <c r="B161" s="928"/>
      <c r="C161" s="928"/>
      <c r="E161" s="798"/>
      <c r="F161" s="914"/>
      <c r="G161" s="914"/>
      <c r="H161" s="914"/>
      <c r="I161" s="914"/>
      <c r="J161" s="914"/>
      <c r="K161" s="914"/>
      <c r="L161" s="914"/>
      <c r="M161" s="914"/>
    </row>
    <row r="162" spans="1:15" ht="11.1" customHeight="1">
      <c r="B162" s="928"/>
      <c r="C162" s="928"/>
      <c r="E162" s="914"/>
      <c r="F162" s="914"/>
      <c r="G162" s="914"/>
      <c r="H162" s="914"/>
      <c r="I162" s="914"/>
      <c r="J162" s="914"/>
      <c r="K162" s="914"/>
      <c r="L162" s="914"/>
      <c r="M162" s="914"/>
    </row>
    <row r="163" spans="1:15" ht="11.1" customHeight="1">
      <c r="B163" s="928"/>
      <c r="C163" s="928"/>
      <c r="E163" s="914"/>
      <c r="F163" s="914"/>
      <c r="G163" s="914"/>
      <c r="H163" s="914"/>
      <c r="I163" s="914"/>
      <c r="J163" s="914"/>
      <c r="K163" s="914"/>
      <c r="L163" s="914"/>
      <c r="M163" s="914"/>
    </row>
    <row r="167" spans="1:15" ht="15.75" customHeight="1">
      <c r="A167" s="782" t="s">
        <v>919</v>
      </c>
      <c r="B167" s="782"/>
    </row>
    <row r="168" spans="1:15" ht="15.75" customHeight="1">
      <c r="A168" s="782" t="s">
        <v>1052</v>
      </c>
      <c r="B168" s="891"/>
      <c r="C168" s="784"/>
      <c r="D168" s="789"/>
      <c r="E168" s="789"/>
      <c r="F168" s="892"/>
      <c r="G168" s="892"/>
      <c r="H168" s="893"/>
    </row>
    <row r="169" spans="1:15" ht="15.75" customHeight="1">
      <c r="A169" s="792" t="s">
        <v>1053</v>
      </c>
      <c r="B169" s="894"/>
      <c r="C169" s="870"/>
      <c r="D169" s="793"/>
      <c r="E169" s="789"/>
      <c r="F169" s="892"/>
      <c r="G169" s="892"/>
      <c r="H169" s="893"/>
    </row>
    <row r="170" spans="1:15" ht="3" customHeight="1">
      <c r="A170" s="895"/>
      <c r="B170" s="794"/>
      <c r="C170" s="794"/>
      <c r="D170" s="795"/>
      <c r="E170" s="896"/>
      <c r="F170" s="896"/>
      <c r="G170" s="896"/>
      <c r="H170" s="896"/>
      <c r="I170" s="896"/>
      <c r="J170" s="896"/>
      <c r="K170" s="896"/>
      <c r="L170" s="896"/>
      <c r="M170" s="896"/>
    </row>
    <row r="171" spans="1:15" ht="3" customHeight="1">
      <c r="A171" s="898"/>
      <c r="B171" s="800"/>
      <c r="C171" s="800"/>
      <c r="D171" s="801"/>
      <c r="E171" s="899"/>
      <c r="F171" s="899"/>
      <c r="G171" s="899"/>
      <c r="H171" s="899"/>
      <c r="I171" s="801"/>
      <c r="J171" s="899"/>
      <c r="K171" s="801"/>
      <c r="L171" s="899"/>
      <c r="M171" s="801"/>
      <c r="N171" s="900"/>
      <c r="O171" s="900"/>
    </row>
    <row r="172" spans="1:15" ht="12.75" customHeight="1">
      <c r="A172" s="799"/>
      <c r="B172" s="800"/>
      <c r="C172" s="801"/>
      <c r="D172" s="801"/>
      <c r="E172" s="805" t="s">
        <v>912</v>
      </c>
      <c r="F172" s="805"/>
      <c r="G172" s="805" t="s">
        <v>146</v>
      </c>
      <c r="H172" s="806"/>
      <c r="I172" s="805" t="s">
        <v>913</v>
      </c>
      <c r="J172" s="805"/>
      <c r="K172" s="805"/>
      <c r="L172" s="805"/>
      <c r="M172" s="805"/>
      <c r="N172" s="805"/>
      <c r="O172" s="805"/>
    </row>
    <row r="173" spans="1:15" ht="12.75" customHeight="1">
      <c r="A173" s="807"/>
      <c r="C173" s="808"/>
      <c r="D173" s="808"/>
      <c r="E173" s="805"/>
      <c r="F173" s="806"/>
      <c r="G173" s="817" t="s">
        <v>929</v>
      </c>
      <c r="H173" s="813" t="s">
        <v>931</v>
      </c>
      <c r="I173" s="805" t="s">
        <v>922</v>
      </c>
      <c r="J173" s="902"/>
      <c r="K173" s="805" t="s">
        <v>923</v>
      </c>
      <c r="L173" s="902"/>
      <c r="M173" s="806"/>
      <c r="N173" s="903" t="s">
        <v>924</v>
      </c>
      <c r="O173" s="806"/>
    </row>
    <row r="174" spans="1:15" ht="12.75" customHeight="1">
      <c r="A174" s="904"/>
      <c r="B174" s="904"/>
      <c r="C174" s="816"/>
      <c r="D174" s="816"/>
      <c r="E174" s="817" t="s">
        <v>929</v>
      </c>
      <c r="F174" s="817" t="s">
        <v>930</v>
      </c>
      <c r="G174" s="813" t="s">
        <v>935</v>
      </c>
      <c r="H174" s="813" t="s">
        <v>936</v>
      </c>
      <c r="I174" s="817" t="s">
        <v>932</v>
      </c>
      <c r="J174" s="820" t="s">
        <v>932</v>
      </c>
      <c r="K174" s="813" t="s">
        <v>932</v>
      </c>
      <c r="L174" s="820" t="s">
        <v>932</v>
      </c>
      <c r="M174" s="820" t="s">
        <v>932</v>
      </c>
      <c r="N174" s="820" t="s">
        <v>933</v>
      </c>
      <c r="O174" s="820" t="s">
        <v>932</v>
      </c>
    </row>
    <row r="175" spans="1:15" ht="12.75" customHeight="1">
      <c r="A175" s="904"/>
      <c r="B175" s="904"/>
      <c r="C175" s="816"/>
      <c r="D175" s="816"/>
      <c r="E175" s="813" t="s">
        <v>935</v>
      </c>
      <c r="F175" s="817" t="s">
        <v>936</v>
      </c>
      <c r="G175" s="813" t="s">
        <v>26</v>
      </c>
      <c r="H175" s="813"/>
      <c r="I175" s="817" t="s">
        <v>937</v>
      </c>
      <c r="J175" s="817" t="s">
        <v>938</v>
      </c>
      <c r="K175" s="817" t="s">
        <v>937</v>
      </c>
      <c r="L175" s="817" t="s">
        <v>938</v>
      </c>
      <c r="M175" s="817" t="s">
        <v>939</v>
      </c>
      <c r="N175" s="817" t="s">
        <v>940</v>
      </c>
      <c r="O175" s="817" t="s">
        <v>940</v>
      </c>
    </row>
    <row r="176" spans="1:15" ht="12.75" customHeight="1">
      <c r="A176" s="904"/>
      <c r="B176" s="904"/>
      <c r="C176" s="816"/>
      <c r="D176" s="816"/>
      <c r="E176" s="793"/>
      <c r="F176" s="817"/>
      <c r="G176" s="793"/>
      <c r="H176" s="793"/>
      <c r="I176" s="817" t="s">
        <v>941</v>
      </c>
      <c r="J176" s="817" t="s">
        <v>942</v>
      </c>
      <c r="K176" s="817" t="s">
        <v>941</v>
      </c>
      <c r="L176" s="817" t="s">
        <v>940</v>
      </c>
      <c r="M176" s="817" t="s">
        <v>942</v>
      </c>
      <c r="N176" s="813"/>
      <c r="O176" s="813"/>
    </row>
    <row r="177" spans="1:15" ht="12.75" customHeight="1">
      <c r="A177" s="821"/>
      <c r="B177" s="821"/>
      <c r="C177" s="821"/>
      <c r="D177" s="821"/>
      <c r="E177" s="822"/>
      <c r="F177" s="822"/>
      <c r="G177" s="822"/>
      <c r="H177" s="822"/>
      <c r="I177" s="793"/>
      <c r="J177" s="817" t="s">
        <v>940</v>
      </c>
      <c r="K177" s="793"/>
      <c r="L177" s="793"/>
      <c r="M177" s="817" t="s">
        <v>940</v>
      </c>
      <c r="N177" s="793"/>
      <c r="O177" s="793"/>
    </row>
    <row r="178" spans="1:15" ht="3" customHeight="1">
      <c r="A178" s="794"/>
      <c r="B178" s="794"/>
      <c r="C178" s="795"/>
      <c r="D178" s="795"/>
      <c r="E178" s="796"/>
      <c r="F178" s="796"/>
      <c r="G178" s="796"/>
      <c r="H178" s="796"/>
      <c r="I178" s="796"/>
      <c r="J178" s="795"/>
      <c r="K178" s="795"/>
      <c r="L178" s="796"/>
      <c r="M178" s="796"/>
      <c r="N178" s="796"/>
      <c r="O178" s="796"/>
    </row>
    <row r="179" spans="1:15" ht="3" customHeight="1">
      <c r="B179" s="928"/>
      <c r="C179" s="928"/>
      <c r="I179" s="890"/>
      <c r="J179" s="890"/>
      <c r="K179" s="890"/>
      <c r="L179" s="890"/>
      <c r="M179" s="890"/>
    </row>
    <row r="180" spans="1:15" ht="12.75" customHeight="1">
      <c r="A180" s="909" t="s">
        <v>1030</v>
      </c>
      <c r="B180" s="834"/>
      <c r="C180" s="834"/>
      <c r="D180" s="835"/>
      <c r="E180" s="1335" t="s">
        <v>1031</v>
      </c>
      <c r="F180" s="1335"/>
      <c r="G180" s="1335"/>
      <c r="H180" s="1335"/>
      <c r="I180" s="1335"/>
      <c r="J180" s="1335"/>
      <c r="K180" s="1335"/>
      <c r="L180" s="1335"/>
      <c r="M180" s="1335"/>
    </row>
    <row r="181" spans="1:15" ht="3" customHeight="1">
      <c r="A181" s="895"/>
      <c r="B181" s="795"/>
      <c r="C181" s="795"/>
      <c r="D181" s="795"/>
      <c r="E181" s="896"/>
      <c r="F181" s="896"/>
      <c r="G181" s="896"/>
      <c r="H181" s="896"/>
      <c r="I181" s="896"/>
      <c r="J181" s="896"/>
      <c r="K181" s="896"/>
      <c r="L181" s="896"/>
      <c r="M181" s="896"/>
      <c r="N181" s="795"/>
      <c r="O181" s="795"/>
    </row>
    <row r="182" spans="1:15" ht="3" customHeight="1">
      <c r="B182" s="928"/>
      <c r="C182" s="928"/>
      <c r="E182" s="914"/>
      <c r="F182" s="914"/>
      <c r="G182" s="914"/>
      <c r="H182" s="914"/>
      <c r="I182" s="914"/>
      <c r="J182" s="914"/>
      <c r="K182" s="914"/>
      <c r="L182" s="914"/>
      <c r="M182" s="914"/>
      <c r="N182" s="914"/>
      <c r="O182" s="914"/>
    </row>
    <row r="183" spans="1:15" ht="12.75" customHeight="1">
      <c r="A183" s="910" t="s">
        <v>1207</v>
      </c>
      <c r="B183" s="861" t="s">
        <v>1208</v>
      </c>
      <c r="C183" s="861"/>
      <c r="D183" s="862"/>
      <c r="E183" s="911">
        <v>19.5</v>
      </c>
      <c r="F183" s="911">
        <v>30.5</v>
      </c>
      <c r="G183" s="911">
        <v>19.5</v>
      </c>
      <c r="H183" s="911">
        <v>44</v>
      </c>
      <c r="I183" s="911">
        <v>23</v>
      </c>
      <c r="J183" s="911">
        <v>26.4</v>
      </c>
      <c r="K183" s="911">
        <v>42.7</v>
      </c>
      <c r="L183" s="911">
        <v>51</v>
      </c>
      <c r="M183" s="911">
        <v>34.1</v>
      </c>
      <c r="N183" s="911">
        <v>40.9</v>
      </c>
      <c r="O183" s="911">
        <v>48</v>
      </c>
    </row>
    <row r="184" spans="1:15" ht="3" customHeight="1">
      <c r="A184" s="952"/>
      <c r="B184" s="952"/>
      <c r="C184" s="952"/>
      <c r="D184" s="875"/>
      <c r="I184" s="890"/>
      <c r="J184" s="890"/>
      <c r="K184" s="890"/>
      <c r="L184" s="890"/>
      <c r="M184" s="890"/>
      <c r="N184" s="890"/>
      <c r="O184" s="890"/>
    </row>
    <row r="185" spans="1:15" ht="11.1" customHeight="1">
      <c r="A185" s="912" t="s">
        <v>1209</v>
      </c>
      <c r="B185" s="913" t="s">
        <v>1210</v>
      </c>
      <c r="C185" s="913"/>
      <c r="D185" s="914"/>
      <c r="E185" s="914"/>
      <c r="F185" s="914"/>
      <c r="G185" s="914"/>
      <c r="H185" s="914"/>
      <c r="I185" s="914"/>
      <c r="J185" s="914"/>
      <c r="K185" s="914"/>
      <c r="L185" s="914"/>
      <c r="M185" s="914"/>
      <c r="N185" s="914"/>
      <c r="O185" s="914"/>
    </row>
    <row r="186" spans="1:15" ht="11.1" customHeight="1">
      <c r="B186" s="913" t="s">
        <v>1211</v>
      </c>
      <c r="C186" s="913"/>
      <c r="D186" s="914"/>
      <c r="E186" s="914">
        <v>5.8</v>
      </c>
      <c r="F186" s="914">
        <v>10.5</v>
      </c>
      <c r="G186" s="914">
        <v>9</v>
      </c>
      <c r="H186" s="914">
        <v>23.3</v>
      </c>
      <c r="I186" s="914">
        <v>13.1</v>
      </c>
      <c r="J186" s="914">
        <v>14.8</v>
      </c>
      <c r="K186" s="914">
        <v>21.2</v>
      </c>
      <c r="L186" s="914">
        <v>25.6</v>
      </c>
      <c r="M186" s="914">
        <v>12.7</v>
      </c>
      <c r="N186" s="914">
        <v>12.1</v>
      </c>
      <c r="O186" s="914">
        <v>13.2</v>
      </c>
    </row>
    <row r="187" spans="1:15" ht="11.1" customHeight="1">
      <c r="A187" s="917"/>
      <c r="B187" s="898" t="s">
        <v>1212</v>
      </c>
      <c r="C187" s="918" t="s">
        <v>1213</v>
      </c>
      <c r="D187" s="917"/>
      <c r="E187" s="914">
        <v>4.9000000000000004</v>
      </c>
      <c r="F187" s="914">
        <v>7.1</v>
      </c>
      <c r="G187" s="914">
        <v>7.6</v>
      </c>
      <c r="H187" s="914">
        <v>19</v>
      </c>
      <c r="I187" s="914">
        <v>12.1</v>
      </c>
      <c r="J187" s="914">
        <v>10.4</v>
      </c>
      <c r="K187" s="914">
        <v>17.3</v>
      </c>
      <c r="L187" s="914">
        <v>18.899999999999999</v>
      </c>
      <c r="M187" s="914">
        <v>10.9</v>
      </c>
      <c r="N187" s="914">
        <v>9.8000000000000007</v>
      </c>
      <c r="O187" s="914">
        <v>11.4</v>
      </c>
    </row>
    <row r="188" spans="1:15" ht="11.1" customHeight="1">
      <c r="A188" s="917"/>
      <c r="B188" s="898" t="s">
        <v>1214</v>
      </c>
      <c r="C188" s="918" t="s">
        <v>1215</v>
      </c>
      <c r="D188" s="917"/>
      <c r="E188" s="914">
        <v>0.9</v>
      </c>
      <c r="F188" s="914">
        <v>3.4</v>
      </c>
      <c r="G188" s="914">
        <v>1.5</v>
      </c>
      <c r="H188" s="914">
        <v>4.3</v>
      </c>
      <c r="I188" s="844" t="s">
        <v>1036</v>
      </c>
      <c r="J188" s="914">
        <v>4.4000000000000004</v>
      </c>
      <c r="K188" s="914">
        <v>3.9</v>
      </c>
      <c r="L188" s="914">
        <v>6.7</v>
      </c>
      <c r="M188" s="919">
        <v>1.8</v>
      </c>
      <c r="N188" s="914">
        <v>2.2000000000000002</v>
      </c>
      <c r="O188" s="919">
        <v>1.8</v>
      </c>
    </row>
    <row r="189" spans="1:15" ht="3" customHeight="1">
      <c r="A189" s="846"/>
      <c r="B189" s="846"/>
      <c r="C189" s="846"/>
      <c r="D189" s="846"/>
      <c r="E189" s="914"/>
      <c r="F189" s="914"/>
      <c r="G189" s="914"/>
      <c r="H189" s="914"/>
      <c r="I189" s="914"/>
      <c r="J189" s="914"/>
      <c r="K189" s="914"/>
      <c r="L189" s="914"/>
      <c r="M189" s="914"/>
      <c r="N189" s="914"/>
      <c r="O189" s="914"/>
    </row>
    <row r="190" spans="1:15" ht="11.1" customHeight="1">
      <c r="A190" s="912" t="s">
        <v>1216</v>
      </c>
      <c r="B190" s="913" t="s">
        <v>1217</v>
      </c>
      <c r="C190" s="913"/>
      <c r="D190" s="914"/>
      <c r="E190" s="914">
        <v>0.6</v>
      </c>
      <c r="F190" s="914">
        <v>2.2999999999999998</v>
      </c>
      <c r="G190" s="914">
        <v>1.2</v>
      </c>
      <c r="H190" s="914">
        <v>2.1</v>
      </c>
      <c r="I190" s="914">
        <v>1.4</v>
      </c>
      <c r="J190" s="914">
        <v>1.4</v>
      </c>
      <c r="K190" s="914">
        <v>3.2</v>
      </c>
      <c r="L190" s="914">
        <v>2.6</v>
      </c>
      <c r="M190" s="914">
        <v>2.5</v>
      </c>
      <c r="N190" s="914">
        <v>3.2</v>
      </c>
      <c r="O190" s="914">
        <v>6.4</v>
      </c>
    </row>
    <row r="191" spans="1:15" ht="11.1" customHeight="1">
      <c r="A191" s="912" t="s">
        <v>1218</v>
      </c>
      <c r="B191" s="914" t="s">
        <v>1219</v>
      </c>
      <c r="C191" s="914"/>
      <c r="D191" s="914"/>
      <c r="E191" s="914">
        <v>4</v>
      </c>
      <c r="F191" s="914">
        <v>3.5</v>
      </c>
      <c r="G191" s="914">
        <v>3.2</v>
      </c>
      <c r="H191" s="914">
        <v>5.6</v>
      </c>
      <c r="I191" s="844" t="s">
        <v>1036</v>
      </c>
      <c r="J191" s="844" t="s">
        <v>1036</v>
      </c>
      <c r="K191" s="914">
        <v>3.5</v>
      </c>
      <c r="L191" s="914">
        <v>4.4000000000000004</v>
      </c>
      <c r="M191" s="919">
        <v>5.3</v>
      </c>
      <c r="N191" s="914">
        <v>6.3</v>
      </c>
      <c r="O191" s="914">
        <v>6</v>
      </c>
    </row>
    <row r="192" spans="1:15" ht="11.1" customHeight="1">
      <c r="A192" s="912" t="s">
        <v>1220</v>
      </c>
      <c r="B192" s="913" t="s">
        <v>1221</v>
      </c>
      <c r="C192" s="913"/>
      <c r="D192" s="914"/>
      <c r="E192" s="914">
        <v>1.2</v>
      </c>
      <c r="F192" s="914">
        <v>1.4</v>
      </c>
      <c r="G192" s="914">
        <v>0.8</v>
      </c>
      <c r="H192" s="914">
        <v>2.5</v>
      </c>
      <c r="I192" s="914">
        <v>1.9</v>
      </c>
      <c r="J192" s="914">
        <v>2.4</v>
      </c>
      <c r="K192" s="914">
        <v>3.1</v>
      </c>
      <c r="L192" s="914">
        <v>3.5</v>
      </c>
      <c r="M192" s="914">
        <v>3.1</v>
      </c>
      <c r="N192" s="914">
        <v>3.8</v>
      </c>
      <c r="O192" s="914">
        <v>4</v>
      </c>
    </row>
    <row r="193" spans="1:15" ht="11.1" customHeight="1">
      <c r="A193" s="912" t="s">
        <v>1222</v>
      </c>
      <c r="B193" s="928" t="s">
        <v>1223</v>
      </c>
      <c r="C193" s="928"/>
      <c r="E193" s="914">
        <v>1.1000000000000001</v>
      </c>
      <c r="F193" s="914">
        <v>4.5</v>
      </c>
      <c r="G193" s="914">
        <v>2</v>
      </c>
      <c r="H193" s="914">
        <v>3.3</v>
      </c>
      <c r="I193" s="914">
        <v>1.1000000000000001</v>
      </c>
      <c r="J193" s="914">
        <v>1.1000000000000001</v>
      </c>
      <c r="K193" s="914">
        <v>4.9000000000000004</v>
      </c>
      <c r="L193" s="914">
        <v>5.7</v>
      </c>
      <c r="M193" s="914">
        <v>2.9</v>
      </c>
      <c r="N193" s="914">
        <v>6</v>
      </c>
      <c r="O193" s="914">
        <v>8.1999999999999993</v>
      </c>
    </row>
    <row r="194" spans="1:15" ht="3" customHeight="1">
      <c r="B194" s="913"/>
      <c r="C194" s="913"/>
      <c r="D194" s="914"/>
      <c r="E194" s="914"/>
      <c r="F194" s="914"/>
      <c r="G194" s="914"/>
      <c r="H194" s="914"/>
      <c r="I194" s="914"/>
      <c r="J194" s="914"/>
      <c r="K194" s="914"/>
      <c r="L194" s="914"/>
      <c r="M194" s="914"/>
      <c r="N194" s="914"/>
      <c r="O194" s="914"/>
    </row>
    <row r="195" spans="1:15" ht="11.1" customHeight="1">
      <c r="A195" s="912" t="s">
        <v>1224</v>
      </c>
      <c r="B195" s="913" t="s">
        <v>1225</v>
      </c>
      <c r="C195" s="913"/>
      <c r="D195" s="914"/>
      <c r="E195" s="914"/>
      <c r="F195" s="914"/>
      <c r="G195" s="914"/>
      <c r="H195" s="914"/>
      <c r="I195" s="914"/>
      <c r="J195" s="914"/>
      <c r="K195" s="914"/>
      <c r="L195" s="914"/>
      <c r="M195" s="914"/>
      <c r="N195" s="914"/>
      <c r="O195" s="914"/>
    </row>
    <row r="196" spans="1:15" ht="11.1" customHeight="1">
      <c r="B196" s="913" t="s">
        <v>1226</v>
      </c>
      <c r="C196" s="913"/>
      <c r="D196" s="914"/>
      <c r="E196" s="914">
        <v>6.7</v>
      </c>
      <c r="F196" s="914">
        <v>8.1999999999999993</v>
      </c>
      <c r="G196" s="914">
        <v>3.2</v>
      </c>
      <c r="H196" s="914">
        <v>7.2</v>
      </c>
      <c r="I196" s="914">
        <v>4.4000000000000004</v>
      </c>
      <c r="J196" s="914">
        <v>5.9</v>
      </c>
      <c r="K196" s="914">
        <v>6.7</v>
      </c>
      <c r="L196" s="914">
        <v>9.1</v>
      </c>
      <c r="M196" s="914">
        <v>7.6</v>
      </c>
      <c r="N196" s="914">
        <v>9.6</v>
      </c>
      <c r="O196" s="914">
        <v>10.199999999999999</v>
      </c>
    </row>
    <row r="197" spans="1:15" ht="11.1" customHeight="1">
      <c r="A197" s="917"/>
      <c r="B197" s="898" t="s">
        <v>1227</v>
      </c>
      <c r="C197" s="918" t="s">
        <v>1228</v>
      </c>
      <c r="D197" s="917"/>
      <c r="E197" s="914">
        <v>1.6</v>
      </c>
      <c r="F197" s="914">
        <v>2.9</v>
      </c>
      <c r="G197" s="914">
        <v>1.6</v>
      </c>
      <c r="H197" s="914">
        <v>2.8</v>
      </c>
      <c r="I197" s="914">
        <v>2.5</v>
      </c>
      <c r="J197" s="914">
        <v>3</v>
      </c>
      <c r="K197" s="914">
        <v>3.3</v>
      </c>
      <c r="L197" s="914">
        <v>3.7</v>
      </c>
      <c r="M197" s="914">
        <v>3.8</v>
      </c>
      <c r="N197" s="914">
        <v>3.7</v>
      </c>
      <c r="O197" s="914">
        <v>4.3</v>
      </c>
    </row>
    <row r="198" spans="1:15" ht="11.1" customHeight="1">
      <c r="A198" s="917"/>
      <c r="B198" s="898" t="s">
        <v>1229</v>
      </c>
      <c r="C198" s="918" t="s">
        <v>1230</v>
      </c>
      <c r="D198" s="917"/>
      <c r="E198" s="914">
        <v>1</v>
      </c>
      <c r="F198" s="914">
        <v>2.4</v>
      </c>
      <c r="G198" s="914">
        <v>1.2</v>
      </c>
      <c r="H198" s="914">
        <v>2.2999999999999998</v>
      </c>
      <c r="I198" s="914">
        <v>1.8</v>
      </c>
      <c r="J198" s="914">
        <v>1.9</v>
      </c>
      <c r="K198" s="914">
        <v>2.2999999999999998</v>
      </c>
      <c r="L198" s="914">
        <v>2.6</v>
      </c>
      <c r="M198" s="914">
        <v>2.9</v>
      </c>
      <c r="N198" s="914">
        <v>3.1</v>
      </c>
      <c r="O198" s="914">
        <v>3.9</v>
      </c>
    </row>
    <row r="199" spans="1:15" ht="11.1" customHeight="1">
      <c r="A199" s="917"/>
      <c r="B199" s="898" t="s">
        <v>1231</v>
      </c>
      <c r="C199" s="918" t="s">
        <v>1232</v>
      </c>
      <c r="D199" s="917"/>
      <c r="E199" s="914"/>
      <c r="F199" s="914"/>
      <c r="I199" s="914"/>
      <c r="J199" s="914"/>
      <c r="K199" s="914"/>
      <c r="L199" s="914"/>
      <c r="M199" s="914"/>
      <c r="N199" s="914"/>
      <c r="O199" s="914"/>
    </row>
    <row r="200" spans="1:15" ht="11.1" customHeight="1">
      <c r="A200" s="917"/>
      <c r="B200" s="898"/>
      <c r="C200" s="918" t="s">
        <v>1233</v>
      </c>
      <c r="D200" s="917"/>
      <c r="E200" s="914">
        <v>4.0999999999999996</v>
      </c>
      <c r="F200" s="914">
        <v>2.9</v>
      </c>
      <c r="G200" s="914">
        <v>0.5</v>
      </c>
      <c r="H200" s="914">
        <v>2.2000000000000002</v>
      </c>
      <c r="I200" s="920" t="s">
        <v>1036</v>
      </c>
      <c r="J200" s="920" t="s">
        <v>1036</v>
      </c>
      <c r="K200" s="914">
        <v>1.1000000000000001</v>
      </c>
      <c r="L200" s="914">
        <v>2.8</v>
      </c>
      <c r="M200" s="920" t="s">
        <v>1036</v>
      </c>
      <c r="N200" s="914">
        <v>2.8</v>
      </c>
      <c r="O200" s="919">
        <v>2</v>
      </c>
    </row>
    <row r="201" spans="1:15" ht="6" customHeight="1">
      <c r="A201" s="895"/>
      <c r="B201" s="795"/>
      <c r="C201" s="795"/>
      <c r="D201" s="795"/>
      <c r="E201" s="934"/>
      <c r="F201" s="934"/>
      <c r="G201" s="934"/>
      <c r="H201" s="934"/>
      <c r="I201" s="934"/>
      <c r="J201" s="934"/>
      <c r="K201" s="934"/>
      <c r="L201" s="934"/>
      <c r="M201" s="934"/>
      <c r="N201" s="934"/>
      <c r="O201" s="934"/>
    </row>
    <row r="202" spans="1:15" ht="4.5" customHeight="1">
      <c r="B202" s="798"/>
      <c r="C202" s="798"/>
      <c r="E202" s="914"/>
      <c r="F202" s="914"/>
      <c r="G202" s="914"/>
      <c r="H202" s="914"/>
      <c r="I202" s="914"/>
      <c r="J202" s="914"/>
      <c r="K202" s="914"/>
      <c r="L202" s="914"/>
      <c r="M202" s="914"/>
      <c r="N202" s="914"/>
      <c r="O202" s="914"/>
    </row>
    <row r="203" spans="1:15" ht="12.75" customHeight="1">
      <c r="A203" s="910" t="s">
        <v>1234</v>
      </c>
      <c r="B203" s="861" t="s">
        <v>65</v>
      </c>
      <c r="C203" s="861"/>
      <c r="D203" s="862"/>
      <c r="E203" s="911">
        <v>5.4</v>
      </c>
      <c r="F203" s="911">
        <v>11.9</v>
      </c>
      <c r="G203" s="911">
        <v>3.9</v>
      </c>
      <c r="H203" s="911">
        <v>5.0999999999999996</v>
      </c>
      <c r="I203" s="911">
        <v>3</v>
      </c>
      <c r="J203" s="911">
        <v>2.2999999999999998</v>
      </c>
      <c r="K203" s="911">
        <v>8.9</v>
      </c>
      <c r="L203" s="911">
        <v>8.1</v>
      </c>
      <c r="M203" s="911">
        <v>4.7</v>
      </c>
      <c r="N203" s="911">
        <v>9.3000000000000007</v>
      </c>
      <c r="O203" s="911">
        <v>9.1999999999999993</v>
      </c>
    </row>
    <row r="204" spans="1:15" ht="3" customHeight="1">
      <c r="B204" s="928"/>
      <c r="C204" s="928"/>
      <c r="I204" s="890"/>
      <c r="J204" s="890"/>
      <c r="K204" s="890"/>
      <c r="L204" s="890"/>
      <c r="M204" s="890"/>
      <c r="N204" s="890"/>
      <c r="O204" s="890"/>
    </row>
    <row r="205" spans="1:15" ht="11.1" customHeight="1">
      <c r="A205" s="912" t="s">
        <v>1235</v>
      </c>
      <c r="B205" s="913" t="s">
        <v>1236</v>
      </c>
      <c r="C205" s="913"/>
      <c r="D205" s="914"/>
      <c r="E205" s="914">
        <v>3</v>
      </c>
      <c r="F205" s="914">
        <v>7.7</v>
      </c>
      <c r="G205" s="914">
        <v>2.5</v>
      </c>
      <c r="H205" s="914">
        <v>3.4</v>
      </c>
      <c r="I205" s="914">
        <v>2.5</v>
      </c>
      <c r="J205" s="914">
        <v>1.9</v>
      </c>
      <c r="K205" s="914">
        <v>3.7</v>
      </c>
      <c r="L205" s="914">
        <v>4.9000000000000004</v>
      </c>
      <c r="M205" s="914">
        <v>3</v>
      </c>
      <c r="N205" s="914">
        <v>5.0999999999999996</v>
      </c>
      <c r="O205" s="914">
        <v>7.8</v>
      </c>
    </row>
    <row r="206" spans="1:15" ht="11.1" customHeight="1">
      <c r="A206" s="917"/>
      <c r="B206" s="898" t="s">
        <v>1237</v>
      </c>
      <c r="C206" s="918" t="s">
        <v>1238</v>
      </c>
      <c r="D206" s="917"/>
      <c r="E206" s="914">
        <v>1.3</v>
      </c>
      <c r="F206" s="914">
        <v>5.2</v>
      </c>
      <c r="G206" s="914">
        <v>1.6</v>
      </c>
      <c r="H206" s="914">
        <v>2.4</v>
      </c>
      <c r="I206" s="914">
        <v>2.2999999999999998</v>
      </c>
      <c r="J206" s="914">
        <v>1.8</v>
      </c>
      <c r="K206" s="914">
        <v>2.5</v>
      </c>
      <c r="L206" s="914">
        <v>2.5</v>
      </c>
      <c r="M206" s="914">
        <v>1.9</v>
      </c>
      <c r="N206" s="914">
        <v>3.7</v>
      </c>
      <c r="O206" s="914">
        <v>3.6</v>
      </c>
    </row>
    <row r="207" spans="1:15" ht="11.1" customHeight="1">
      <c r="A207" s="917"/>
      <c r="B207" s="898" t="s">
        <v>1239</v>
      </c>
      <c r="C207" s="918" t="s">
        <v>1240</v>
      </c>
      <c r="D207" s="917"/>
      <c r="E207" s="919">
        <v>1.6</v>
      </c>
      <c r="F207" s="914">
        <v>2.5</v>
      </c>
      <c r="G207" s="914">
        <v>0.9</v>
      </c>
      <c r="H207" s="914">
        <v>1</v>
      </c>
      <c r="I207" s="920" t="s">
        <v>1036</v>
      </c>
      <c r="J207" s="920" t="s">
        <v>1036</v>
      </c>
      <c r="K207" s="914">
        <v>1.2</v>
      </c>
      <c r="L207" s="914">
        <v>2.4</v>
      </c>
      <c r="M207" s="919">
        <v>1</v>
      </c>
      <c r="N207" s="914">
        <v>1.4</v>
      </c>
      <c r="O207" s="914">
        <v>4.2</v>
      </c>
    </row>
    <row r="208" spans="1:15" ht="3" customHeight="1">
      <c r="B208" s="798"/>
      <c r="C208" s="798"/>
      <c r="E208" s="914"/>
      <c r="F208" s="914"/>
      <c r="G208" s="914"/>
      <c r="H208" s="914"/>
      <c r="I208" s="914"/>
      <c r="J208" s="914"/>
      <c r="K208" s="914"/>
      <c r="L208" s="914"/>
      <c r="M208" s="914"/>
      <c r="N208" s="914"/>
      <c r="O208" s="914"/>
    </row>
    <row r="209" spans="1:15" ht="11.1" customHeight="1">
      <c r="A209" s="912" t="s">
        <v>1241</v>
      </c>
      <c r="B209" s="928" t="s">
        <v>1242</v>
      </c>
      <c r="C209" s="928"/>
      <c r="E209" s="914">
        <v>2.5</v>
      </c>
      <c r="F209" s="914">
        <v>4.2</v>
      </c>
      <c r="G209" s="914">
        <v>1.4</v>
      </c>
      <c r="H209" s="914">
        <v>1.7</v>
      </c>
      <c r="I209" s="920" t="s">
        <v>1036</v>
      </c>
      <c r="J209" s="920" t="s">
        <v>1036</v>
      </c>
      <c r="K209" s="919">
        <v>5.2</v>
      </c>
      <c r="L209" s="914">
        <v>3.2</v>
      </c>
      <c r="M209" s="920" t="s">
        <v>1036</v>
      </c>
      <c r="N209" s="914">
        <v>4.2</v>
      </c>
      <c r="O209" s="920" t="s">
        <v>1036</v>
      </c>
    </row>
    <row r="210" spans="1:15" ht="3.75" customHeight="1">
      <c r="A210" s="895"/>
      <c r="B210" s="953"/>
      <c r="C210" s="953"/>
      <c r="D210" s="795"/>
      <c r="E210" s="934"/>
      <c r="F210" s="934"/>
      <c r="G210" s="934"/>
      <c r="H210" s="934"/>
      <c r="I210" s="934"/>
      <c r="J210" s="934"/>
      <c r="K210" s="934"/>
      <c r="L210" s="934"/>
      <c r="M210" s="934"/>
      <c r="N210" s="934"/>
      <c r="O210" s="934"/>
    </row>
    <row r="211" spans="1:15" ht="4.5" customHeight="1">
      <c r="B211" s="928"/>
      <c r="C211" s="928"/>
      <c r="E211" s="914"/>
      <c r="F211" s="914"/>
      <c r="G211" s="914"/>
      <c r="H211" s="914"/>
      <c r="I211" s="914"/>
      <c r="J211" s="914"/>
      <c r="K211" s="914"/>
      <c r="L211" s="914"/>
      <c r="M211" s="914"/>
      <c r="N211" s="914"/>
      <c r="O211" s="914"/>
    </row>
    <row r="212" spans="1:15" ht="12.75" customHeight="1">
      <c r="A212" s="935" t="s">
        <v>1243</v>
      </c>
      <c r="B212" s="936" t="s">
        <v>69</v>
      </c>
      <c r="C212" s="936"/>
      <c r="D212" s="937"/>
      <c r="E212" s="938">
        <v>16.100000000000001</v>
      </c>
      <c r="F212" s="938">
        <v>53.6</v>
      </c>
      <c r="G212" s="938">
        <v>32.700000000000003</v>
      </c>
      <c r="H212" s="938">
        <v>69.599999999999994</v>
      </c>
      <c r="I212" s="938">
        <v>48.9</v>
      </c>
      <c r="J212" s="938">
        <v>39.4</v>
      </c>
      <c r="K212" s="938">
        <v>69.3</v>
      </c>
      <c r="L212" s="938">
        <v>89.7</v>
      </c>
      <c r="M212" s="938">
        <v>73.3</v>
      </c>
      <c r="N212" s="938">
        <v>111.8</v>
      </c>
      <c r="O212" s="938">
        <v>108.5</v>
      </c>
    </row>
    <row r="213" spans="1:15" ht="6" customHeight="1">
      <c r="B213" s="928"/>
      <c r="C213" s="928"/>
      <c r="I213" s="890"/>
      <c r="J213" s="890"/>
      <c r="K213" s="890"/>
      <c r="L213" s="890"/>
      <c r="M213" s="890"/>
      <c r="N213" s="890"/>
      <c r="O213" s="890"/>
    </row>
    <row r="214" spans="1:15" ht="11.1" customHeight="1">
      <c r="A214" s="912" t="s">
        <v>1244</v>
      </c>
      <c r="B214" s="913" t="s">
        <v>1245</v>
      </c>
      <c r="C214" s="913"/>
      <c r="D214" s="914"/>
      <c r="E214" s="914">
        <v>6.5</v>
      </c>
      <c r="F214" s="914">
        <v>27.1</v>
      </c>
      <c r="G214" s="914">
        <v>15</v>
      </c>
      <c r="H214" s="914">
        <v>32</v>
      </c>
      <c r="I214" s="914">
        <v>29.5</v>
      </c>
      <c r="J214" s="914">
        <v>20.8</v>
      </c>
      <c r="K214" s="914">
        <v>32.700000000000003</v>
      </c>
      <c r="L214" s="914">
        <v>45.7</v>
      </c>
      <c r="M214" s="914">
        <v>35.700000000000003</v>
      </c>
      <c r="N214" s="914">
        <v>60.1</v>
      </c>
      <c r="O214" s="914">
        <v>52.7</v>
      </c>
    </row>
    <row r="215" spans="1:15" ht="11.1" customHeight="1">
      <c r="A215" s="917"/>
      <c r="B215" s="898" t="s">
        <v>1246</v>
      </c>
      <c r="C215" s="918" t="s">
        <v>1247</v>
      </c>
      <c r="D215" s="917"/>
      <c r="E215" s="919">
        <v>1.6</v>
      </c>
      <c r="F215" s="914">
        <v>15.6</v>
      </c>
      <c r="G215" s="919">
        <v>1.7</v>
      </c>
      <c r="H215" s="914">
        <v>9.1</v>
      </c>
      <c r="I215" s="844" t="s">
        <v>1036</v>
      </c>
      <c r="J215" s="844" t="s">
        <v>1036</v>
      </c>
      <c r="K215" s="914">
        <v>7.4</v>
      </c>
      <c r="L215" s="914">
        <v>8.3000000000000007</v>
      </c>
      <c r="M215" s="844" t="s">
        <v>1036</v>
      </c>
      <c r="N215" s="914">
        <v>22.3</v>
      </c>
      <c r="O215" s="919">
        <v>28.1</v>
      </c>
    </row>
    <row r="216" spans="1:15" ht="11.1" customHeight="1">
      <c r="A216" s="917"/>
      <c r="B216" s="898" t="s">
        <v>1248</v>
      </c>
      <c r="C216" s="918" t="s">
        <v>1249</v>
      </c>
      <c r="D216" s="917"/>
      <c r="E216" s="914">
        <v>4.9000000000000004</v>
      </c>
      <c r="F216" s="914">
        <v>11.5</v>
      </c>
      <c r="G216" s="914">
        <v>12.9</v>
      </c>
      <c r="H216" s="914">
        <v>21.1</v>
      </c>
      <c r="I216" s="914">
        <v>29</v>
      </c>
      <c r="J216" s="919">
        <v>12</v>
      </c>
      <c r="K216" s="914">
        <v>24.6</v>
      </c>
      <c r="L216" s="914">
        <v>35.700000000000003</v>
      </c>
      <c r="M216" s="914">
        <v>26.6</v>
      </c>
      <c r="N216" s="914">
        <v>31.9</v>
      </c>
      <c r="O216" s="914">
        <v>23.8</v>
      </c>
    </row>
    <row r="217" spans="1:15" ht="11.1" customHeight="1">
      <c r="A217" s="917"/>
      <c r="B217" s="898" t="s">
        <v>1250</v>
      </c>
      <c r="C217" s="918" t="s">
        <v>1251</v>
      </c>
      <c r="D217" s="917"/>
      <c r="E217" s="844" t="s">
        <v>1035</v>
      </c>
      <c r="F217" s="844" t="s">
        <v>1036</v>
      </c>
      <c r="G217" s="844" t="s">
        <v>1036</v>
      </c>
      <c r="H217" s="914">
        <v>1.8</v>
      </c>
      <c r="I217" s="844" t="s">
        <v>1035</v>
      </c>
      <c r="J217" s="844" t="s">
        <v>1036</v>
      </c>
      <c r="K217" s="844" t="s">
        <v>1036</v>
      </c>
      <c r="L217" s="919">
        <v>1.8</v>
      </c>
      <c r="M217" s="844" t="s">
        <v>1036</v>
      </c>
      <c r="N217" s="844" t="s">
        <v>1036</v>
      </c>
      <c r="O217" s="844" t="s">
        <v>1036</v>
      </c>
    </row>
    <row r="218" spans="1:15" ht="3" customHeight="1">
      <c r="B218" s="913"/>
      <c r="C218" s="914"/>
      <c r="D218" s="914"/>
      <c r="E218" s="914"/>
      <c r="F218" s="914"/>
      <c r="G218" s="914"/>
      <c r="H218" s="914"/>
      <c r="I218" s="914"/>
      <c r="J218" s="914"/>
      <c r="K218" s="914"/>
      <c r="L218" s="914"/>
      <c r="M218" s="914"/>
      <c r="N218" s="914"/>
      <c r="O218" s="914"/>
    </row>
    <row r="219" spans="1:15" ht="11.1" customHeight="1">
      <c r="A219" s="941" t="s">
        <v>1252</v>
      </c>
      <c r="B219" s="946" t="s">
        <v>1253</v>
      </c>
      <c r="C219" s="943"/>
      <c r="D219" s="943"/>
      <c r="E219" s="943">
        <v>7.3</v>
      </c>
      <c r="F219" s="943">
        <v>19.899999999999999</v>
      </c>
      <c r="G219" s="943">
        <v>13.3</v>
      </c>
      <c r="H219" s="943">
        <v>25.4</v>
      </c>
      <c r="I219" s="943">
        <v>14.7</v>
      </c>
      <c r="J219" s="943">
        <v>13.8</v>
      </c>
      <c r="K219" s="943">
        <v>25.4</v>
      </c>
      <c r="L219" s="943">
        <v>27.7</v>
      </c>
      <c r="M219" s="943">
        <v>26.8</v>
      </c>
      <c r="N219" s="943">
        <v>35.4</v>
      </c>
      <c r="O219" s="943">
        <v>35.6</v>
      </c>
    </row>
    <row r="220" spans="1:15" ht="11.1" customHeight="1">
      <c r="A220" s="801"/>
      <c r="B220" s="898" t="s">
        <v>1254</v>
      </c>
      <c r="C220" s="801" t="s">
        <v>1255</v>
      </c>
      <c r="D220" s="801"/>
      <c r="E220" s="919">
        <v>0.3</v>
      </c>
      <c r="F220" s="914">
        <v>2.8</v>
      </c>
      <c r="G220" s="914">
        <v>1.6</v>
      </c>
      <c r="H220" s="914">
        <v>2.8</v>
      </c>
      <c r="I220" s="844" t="s">
        <v>1036</v>
      </c>
      <c r="J220" s="844" t="s">
        <v>1036</v>
      </c>
      <c r="K220" s="914">
        <v>2.8</v>
      </c>
      <c r="L220" s="914">
        <v>4.0999999999999996</v>
      </c>
      <c r="M220" s="919">
        <v>1</v>
      </c>
      <c r="N220" s="914">
        <v>3.6</v>
      </c>
      <c r="O220" s="914">
        <v>3.9</v>
      </c>
    </row>
    <row r="221" spans="1:15" ht="11.1" customHeight="1">
      <c r="A221" s="801"/>
      <c r="B221" s="898" t="s">
        <v>1256</v>
      </c>
      <c r="C221" s="916" t="s">
        <v>1257</v>
      </c>
      <c r="D221" s="801"/>
      <c r="E221" s="914">
        <v>3.1</v>
      </c>
      <c r="F221" s="914">
        <v>8.6</v>
      </c>
      <c r="G221" s="914">
        <v>6.3</v>
      </c>
      <c r="H221" s="914">
        <v>13.8</v>
      </c>
      <c r="I221" s="914">
        <v>8.4</v>
      </c>
      <c r="J221" s="914">
        <v>8.8000000000000007</v>
      </c>
      <c r="K221" s="914">
        <v>14.5</v>
      </c>
      <c r="L221" s="914">
        <v>15</v>
      </c>
      <c r="M221" s="914">
        <v>16.5</v>
      </c>
      <c r="N221" s="914">
        <v>18.600000000000001</v>
      </c>
      <c r="O221" s="914">
        <v>19.7</v>
      </c>
    </row>
    <row r="222" spans="1:15" ht="11.1" customHeight="1">
      <c r="A222" s="917"/>
      <c r="B222" s="898" t="s">
        <v>1258</v>
      </c>
      <c r="C222" s="918" t="s">
        <v>1259</v>
      </c>
      <c r="D222" s="917"/>
      <c r="E222" s="914">
        <v>2.9</v>
      </c>
      <c r="F222" s="914">
        <v>6.2</v>
      </c>
      <c r="G222" s="914">
        <v>3.9</v>
      </c>
      <c r="H222" s="914">
        <v>7.2</v>
      </c>
      <c r="I222" s="914">
        <v>4.3</v>
      </c>
      <c r="J222" s="914">
        <v>3.8</v>
      </c>
      <c r="K222" s="914">
        <v>6.5</v>
      </c>
      <c r="L222" s="914">
        <v>7.1</v>
      </c>
      <c r="M222" s="914">
        <v>7.1</v>
      </c>
      <c r="N222" s="914">
        <v>10</v>
      </c>
      <c r="O222" s="914">
        <v>9.9</v>
      </c>
    </row>
    <row r="223" spans="1:15" ht="11.1" customHeight="1">
      <c r="A223" s="954"/>
      <c r="B223" s="898" t="s">
        <v>1260</v>
      </c>
      <c r="C223" s="922" t="s">
        <v>1261</v>
      </c>
      <c r="D223" s="954"/>
      <c r="E223" s="914">
        <v>1</v>
      </c>
      <c r="F223" s="914">
        <v>2.2000000000000002</v>
      </c>
      <c r="G223" s="914">
        <v>1.5</v>
      </c>
      <c r="H223" s="914">
        <v>1.6</v>
      </c>
      <c r="I223" s="919">
        <v>2</v>
      </c>
      <c r="J223" s="919">
        <v>0.5</v>
      </c>
      <c r="K223" s="914">
        <v>1.6</v>
      </c>
      <c r="L223" s="914">
        <v>1.5</v>
      </c>
      <c r="M223" s="914">
        <v>2.2000000000000002</v>
      </c>
      <c r="N223" s="914">
        <v>3.3</v>
      </c>
      <c r="O223" s="914">
        <v>2.1</v>
      </c>
    </row>
    <row r="224" spans="1:15" ht="3" customHeight="1">
      <c r="C224" s="798"/>
      <c r="E224" s="914"/>
      <c r="F224" s="914"/>
      <c r="G224" s="914"/>
      <c r="H224" s="914"/>
      <c r="I224" s="914"/>
      <c r="J224" s="914"/>
      <c r="K224" s="914"/>
      <c r="L224" s="914"/>
      <c r="M224" s="914"/>
      <c r="N224" s="914"/>
      <c r="O224" s="914"/>
    </row>
    <row r="225" spans="1:15" ht="11.1" customHeight="1">
      <c r="A225" s="912" t="s">
        <v>1262</v>
      </c>
      <c r="B225" s="913" t="s">
        <v>1263</v>
      </c>
      <c r="C225" s="914"/>
      <c r="D225" s="914"/>
      <c r="E225" s="914">
        <v>2.2999999999999998</v>
      </c>
      <c r="F225" s="914">
        <v>6.6</v>
      </c>
      <c r="G225" s="914">
        <v>4.4000000000000004</v>
      </c>
      <c r="H225" s="914">
        <v>12.3</v>
      </c>
      <c r="I225" s="914">
        <v>4.7</v>
      </c>
      <c r="J225" s="914">
        <v>4.8</v>
      </c>
      <c r="K225" s="914">
        <v>11.2</v>
      </c>
      <c r="L225" s="914">
        <v>16.3</v>
      </c>
      <c r="M225" s="914">
        <v>10.8</v>
      </c>
      <c r="N225" s="914">
        <v>16.399999999999999</v>
      </c>
      <c r="O225" s="914">
        <v>20.3</v>
      </c>
    </row>
    <row r="226" spans="1:15" ht="11.1" customHeight="1">
      <c r="A226" s="917"/>
      <c r="B226" s="898" t="s">
        <v>1264</v>
      </c>
      <c r="C226" s="918" t="s">
        <v>1265</v>
      </c>
      <c r="D226" s="917"/>
      <c r="E226" s="844" t="s">
        <v>1036</v>
      </c>
      <c r="F226" s="914">
        <v>0.1</v>
      </c>
      <c r="G226" s="914">
        <v>0.6</v>
      </c>
      <c r="H226" s="914">
        <v>1.1000000000000001</v>
      </c>
      <c r="I226" s="844" t="s">
        <v>1035</v>
      </c>
      <c r="J226" s="844" t="s">
        <v>1036</v>
      </c>
      <c r="K226" s="919">
        <v>1.3</v>
      </c>
      <c r="L226" s="914">
        <v>1</v>
      </c>
      <c r="M226" s="844" t="s">
        <v>1036</v>
      </c>
      <c r="N226" s="914">
        <v>1.7</v>
      </c>
      <c r="O226" s="919">
        <v>1.5</v>
      </c>
    </row>
    <row r="227" spans="1:15" ht="11.1" customHeight="1">
      <c r="A227" s="917"/>
      <c r="B227" s="898" t="s">
        <v>1266</v>
      </c>
      <c r="C227" s="918" t="s">
        <v>1267</v>
      </c>
      <c r="D227" s="917"/>
      <c r="E227" s="844" t="s">
        <v>1036</v>
      </c>
      <c r="F227" s="844" t="s">
        <v>1036</v>
      </c>
      <c r="G227" s="914">
        <v>0.6</v>
      </c>
      <c r="H227" s="914">
        <v>0.6</v>
      </c>
      <c r="I227" s="919">
        <v>0.8</v>
      </c>
      <c r="J227" s="919">
        <v>0.8</v>
      </c>
      <c r="K227" s="919">
        <v>0.4</v>
      </c>
      <c r="L227" s="914">
        <v>0.5</v>
      </c>
      <c r="M227" s="844" t="s">
        <v>1036</v>
      </c>
      <c r="N227" s="914">
        <v>0.8</v>
      </c>
      <c r="O227" s="919">
        <v>0.6</v>
      </c>
    </row>
    <row r="228" spans="1:15" ht="11.1" customHeight="1">
      <c r="A228" s="917"/>
      <c r="B228" s="898" t="s">
        <v>1268</v>
      </c>
      <c r="C228" s="918" t="s">
        <v>159</v>
      </c>
      <c r="D228" s="917"/>
      <c r="E228" s="844" t="s">
        <v>1035</v>
      </c>
      <c r="F228" s="844" t="s">
        <v>1035</v>
      </c>
      <c r="G228" s="844" t="s">
        <v>1036</v>
      </c>
      <c r="H228" s="844" t="s">
        <v>1036</v>
      </c>
      <c r="I228" s="844" t="s">
        <v>1035</v>
      </c>
      <c r="J228" s="844" t="s">
        <v>1035</v>
      </c>
      <c r="K228" s="844" t="s">
        <v>1036</v>
      </c>
      <c r="L228" s="844" t="s">
        <v>1035</v>
      </c>
      <c r="M228" s="844" t="s">
        <v>1036</v>
      </c>
      <c r="N228" s="844" t="s">
        <v>1036</v>
      </c>
      <c r="O228" s="844" t="s">
        <v>1036</v>
      </c>
    </row>
    <row r="229" spans="1:15" ht="11.1" customHeight="1">
      <c r="A229" s="917"/>
      <c r="B229" s="898" t="s">
        <v>1269</v>
      </c>
      <c r="C229" s="918" t="s">
        <v>1270</v>
      </c>
      <c r="D229" s="917"/>
      <c r="E229" s="914">
        <v>2.2999999999999998</v>
      </c>
      <c r="F229" s="914">
        <v>6.5</v>
      </c>
      <c r="G229" s="914">
        <v>3.1</v>
      </c>
      <c r="H229" s="914">
        <v>10.4</v>
      </c>
      <c r="I229" s="914">
        <v>4</v>
      </c>
      <c r="J229" s="914">
        <v>3.7</v>
      </c>
      <c r="K229" s="914">
        <v>9.4</v>
      </c>
      <c r="L229" s="914">
        <v>14.8</v>
      </c>
      <c r="M229" s="914">
        <v>7.9</v>
      </c>
      <c r="N229" s="914">
        <v>13.8</v>
      </c>
      <c r="O229" s="914">
        <v>18.100000000000001</v>
      </c>
    </row>
    <row r="230" spans="1:15" ht="25.95" customHeight="1">
      <c r="A230" s="955"/>
      <c r="B230" s="956"/>
      <c r="C230" s="957"/>
      <c r="D230" s="955"/>
      <c r="E230" s="950">
        <f>SUM(E219/E212)</f>
        <v>0.45341614906832295</v>
      </c>
      <c r="F230" s="950">
        <f t="shared" ref="F230:O230" si="1">SUM(F219/F212)</f>
        <v>0.3712686567164179</v>
      </c>
      <c r="G230" s="950">
        <f t="shared" si="1"/>
        <v>0.40672782874617736</v>
      </c>
      <c r="H230" s="950">
        <f t="shared" si="1"/>
        <v>0.36494252873563221</v>
      </c>
      <c r="I230" s="950">
        <f t="shared" si="1"/>
        <v>0.30061349693251532</v>
      </c>
      <c r="J230" s="950">
        <f t="shared" si="1"/>
        <v>0.35025380710659904</v>
      </c>
      <c r="K230" s="950">
        <f t="shared" si="1"/>
        <v>0.36652236652236653</v>
      </c>
      <c r="L230" s="950">
        <f t="shared" si="1"/>
        <v>0.3088071348940914</v>
      </c>
      <c r="M230" s="950">
        <f t="shared" si="1"/>
        <v>0.36562073669849932</v>
      </c>
      <c r="N230" s="950">
        <f t="shared" si="1"/>
        <v>0.31663685152057247</v>
      </c>
      <c r="O230" s="950">
        <f t="shared" si="1"/>
        <v>0.328110599078341</v>
      </c>
    </row>
    <row r="231" spans="1:15" ht="4.5" customHeight="1">
      <c r="B231" s="928"/>
      <c r="C231" s="928"/>
      <c r="E231" s="914"/>
      <c r="F231" s="914"/>
      <c r="G231" s="914"/>
      <c r="H231" s="914"/>
      <c r="I231" s="914"/>
      <c r="J231" s="914"/>
      <c r="K231" s="914"/>
      <c r="L231" s="914"/>
      <c r="M231" s="914"/>
      <c r="N231" s="914"/>
      <c r="O231" s="914"/>
    </row>
    <row r="232" spans="1:15" ht="12.75" customHeight="1">
      <c r="A232" s="910" t="s">
        <v>1271</v>
      </c>
      <c r="B232" s="861" t="s">
        <v>84</v>
      </c>
      <c r="C232" s="861"/>
      <c r="D232" s="862"/>
      <c r="E232" s="911">
        <v>12.4</v>
      </c>
      <c r="F232" s="911">
        <v>19.399999999999999</v>
      </c>
      <c r="G232" s="911">
        <v>13.2</v>
      </c>
      <c r="H232" s="911">
        <v>21.5</v>
      </c>
      <c r="I232" s="911">
        <v>17.399999999999999</v>
      </c>
      <c r="J232" s="911">
        <v>21.6</v>
      </c>
      <c r="K232" s="911">
        <v>25.1</v>
      </c>
      <c r="L232" s="911">
        <v>27.2</v>
      </c>
      <c r="M232" s="911">
        <v>25.9</v>
      </c>
      <c r="N232" s="911">
        <v>30.8</v>
      </c>
      <c r="O232" s="911">
        <v>36</v>
      </c>
    </row>
    <row r="233" spans="1:15" ht="3" customHeight="1">
      <c r="B233" s="913"/>
      <c r="C233" s="913"/>
      <c r="D233" s="914"/>
      <c r="E233" s="881"/>
      <c r="F233" s="881"/>
      <c r="G233" s="881"/>
      <c r="H233" s="881"/>
      <c r="I233" s="881"/>
      <c r="J233" s="881"/>
      <c r="K233" s="881"/>
      <c r="L233" s="881"/>
      <c r="M233" s="881"/>
      <c r="N233" s="881"/>
      <c r="O233" s="881"/>
    </row>
    <row r="234" spans="1:15" ht="11.1" customHeight="1">
      <c r="A234" s="912" t="s">
        <v>1272</v>
      </c>
      <c r="B234" s="798" t="s">
        <v>1273</v>
      </c>
      <c r="C234" s="798"/>
      <c r="E234" s="914">
        <v>0.8</v>
      </c>
      <c r="F234" s="914">
        <v>1.4</v>
      </c>
      <c r="G234" s="914">
        <v>0.5</v>
      </c>
      <c r="H234" s="914">
        <v>1.1000000000000001</v>
      </c>
      <c r="I234" s="919">
        <v>0.3</v>
      </c>
      <c r="J234" s="919">
        <v>0.5</v>
      </c>
      <c r="K234" s="914">
        <v>0.7</v>
      </c>
      <c r="L234" s="914">
        <v>0.9</v>
      </c>
      <c r="M234" s="914">
        <v>0.8</v>
      </c>
      <c r="N234" s="914">
        <v>1.1000000000000001</v>
      </c>
      <c r="O234" s="914">
        <v>1.1000000000000001</v>
      </c>
    </row>
    <row r="235" spans="1:15" ht="11.1" customHeight="1">
      <c r="A235" s="912" t="s">
        <v>1274</v>
      </c>
      <c r="B235" s="913" t="s">
        <v>1275</v>
      </c>
      <c r="C235" s="913"/>
      <c r="D235" s="914"/>
      <c r="E235" s="919">
        <v>0.3</v>
      </c>
      <c r="F235" s="919">
        <v>1.2</v>
      </c>
      <c r="G235" s="914">
        <v>0.3</v>
      </c>
      <c r="H235" s="914">
        <v>0.5</v>
      </c>
      <c r="I235" s="844" t="s">
        <v>1036</v>
      </c>
      <c r="J235" s="844" t="s">
        <v>1036</v>
      </c>
      <c r="K235" s="919">
        <v>0.8</v>
      </c>
      <c r="L235" s="914">
        <v>1.7</v>
      </c>
      <c r="M235" s="919">
        <v>1</v>
      </c>
      <c r="N235" s="914">
        <v>1.2</v>
      </c>
      <c r="O235" s="914">
        <v>2</v>
      </c>
    </row>
    <row r="236" spans="1:15" ht="11.1" customHeight="1">
      <c r="A236" s="912" t="s">
        <v>1276</v>
      </c>
      <c r="B236" s="807" t="s">
        <v>1277</v>
      </c>
      <c r="E236" s="914">
        <v>3.2</v>
      </c>
      <c r="F236" s="914">
        <v>4.5999999999999996</v>
      </c>
      <c r="G236" s="914">
        <v>4.5</v>
      </c>
      <c r="H236" s="914">
        <v>9.1</v>
      </c>
      <c r="I236" s="914">
        <v>6.8</v>
      </c>
      <c r="J236" s="914">
        <v>10.5</v>
      </c>
      <c r="K236" s="914">
        <v>12.4</v>
      </c>
      <c r="L236" s="914">
        <v>13</v>
      </c>
      <c r="M236" s="914">
        <v>13.3</v>
      </c>
      <c r="N236" s="914">
        <v>15.5</v>
      </c>
      <c r="O236" s="914">
        <v>19.2</v>
      </c>
    </row>
    <row r="237" spans="1:15" ht="11.1" customHeight="1">
      <c r="A237" s="912" t="s">
        <v>1278</v>
      </c>
      <c r="B237" s="807" t="s">
        <v>1279</v>
      </c>
      <c r="E237" s="914">
        <v>0.2</v>
      </c>
      <c r="F237" s="914">
        <v>0.2</v>
      </c>
      <c r="G237" s="914">
        <v>0.9</v>
      </c>
      <c r="H237" s="914">
        <v>1</v>
      </c>
      <c r="I237" s="919">
        <v>0.8</v>
      </c>
      <c r="J237" s="919">
        <v>0.8</v>
      </c>
      <c r="K237" s="914">
        <v>0.8</v>
      </c>
      <c r="L237" s="914">
        <v>0.9</v>
      </c>
      <c r="M237" s="919">
        <v>0.8</v>
      </c>
      <c r="N237" s="914">
        <v>0.7</v>
      </c>
      <c r="O237" s="919">
        <v>0.4</v>
      </c>
    </row>
    <row r="238" spans="1:15" ht="11.1" customHeight="1">
      <c r="A238" s="912">
        <v>8.5</v>
      </c>
      <c r="B238" s="807" t="s">
        <v>1280</v>
      </c>
      <c r="E238" s="914">
        <v>7.9</v>
      </c>
      <c r="F238" s="914">
        <v>12.1</v>
      </c>
      <c r="G238" s="914">
        <v>7</v>
      </c>
      <c r="H238" s="914">
        <v>9.9</v>
      </c>
      <c r="I238" s="914">
        <v>8.5</v>
      </c>
      <c r="J238" s="914">
        <v>9.6999999999999993</v>
      </c>
      <c r="K238" s="914">
        <v>10.4</v>
      </c>
      <c r="L238" s="914">
        <v>10.8</v>
      </c>
      <c r="M238" s="914">
        <v>10</v>
      </c>
      <c r="N238" s="914">
        <v>12.3</v>
      </c>
      <c r="O238" s="914">
        <v>13.3</v>
      </c>
    </row>
    <row r="239" spans="1:15" ht="3" customHeight="1">
      <c r="A239" s="895"/>
      <c r="B239" s="933"/>
      <c r="C239" s="933"/>
      <c r="D239" s="934"/>
      <c r="E239" s="934"/>
      <c r="F239" s="934"/>
      <c r="G239" s="934"/>
      <c r="H239" s="934"/>
      <c r="I239" s="934"/>
      <c r="J239" s="934"/>
      <c r="K239" s="934"/>
      <c r="L239" s="934"/>
      <c r="M239" s="934"/>
      <c r="N239" s="934"/>
      <c r="O239" s="934"/>
    </row>
    <row r="240" spans="1:15" ht="3" customHeight="1">
      <c r="B240" s="913"/>
      <c r="C240" s="913"/>
      <c r="D240" s="914"/>
      <c r="E240" s="914"/>
      <c r="F240" s="914"/>
      <c r="G240" s="914"/>
      <c r="H240" s="914"/>
      <c r="I240" s="914"/>
      <c r="J240" s="914"/>
      <c r="K240" s="914"/>
      <c r="L240" s="914"/>
      <c r="M240" s="914"/>
    </row>
    <row r="241" spans="1:15" ht="11.1" customHeight="1">
      <c r="A241" s="850" t="s">
        <v>1047</v>
      </c>
      <c r="B241" s="913"/>
      <c r="C241" s="913"/>
      <c r="D241" s="914"/>
      <c r="E241" s="914"/>
      <c r="F241" s="914"/>
      <c r="G241" s="914"/>
      <c r="H241" s="914"/>
      <c r="I241" s="914"/>
      <c r="J241" s="914"/>
      <c r="K241" s="914"/>
      <c r="L241" s="914"/>
      <c r="M241" s="914"/>
    </row>
    <row r="242" spans="1:15" ht="11.1" customHeight="1">
      <c r="A242" s="850" t="s">
        <v>1137</v>
      </c>
      <c r="B242" s="913"/>
      <c r="C242" s="913"/>
      <c r="D242" s="914"/>
      <c r="E242" s="914"/>
      <c r="F242" s="914"/>
      <c r="G242" s="914"/>
      <c r="H242" s="914"/>
      <c r="I242" s="914"/>
      <c r="J242" s="914"/>
      <c r="K242" s="914"/>
      <c r="L242" s="914"/>
      <c r="M242" s="914"/>
    </row>
    <row r="243" spans="1:15" ht="11.1" customHeight="1">
      <c r="A243" s="845" t="s">
        <v>1048</v>
      </c>
      <c r="B243" s="913"/>
      <c r="C243" s="913"/>
      <c r="D243" s="914"/>
      <c r="E243" s="914"/>
      <c r="F243" s="914"/>
      <c r="G243" s="914"/>
      <c r="H243" s="914"/>
      <c r="I243" s="914"/>
      <c r="J243" s="914"/>
      <c r="K243" s="914"/>
      <c r="L243" s="914"/>
      <c r="M243" s="914"/>
    </row>
    <row r="244" spans="1:15" ht="11.1" customHeight="1">
      <c r="A244" s="850" t="s">
        <v>1281</v>
      </c>
      <c r="B244" s="913"/>
      <c r="C244" s="913"/>
      <c r="D244" s="914"/>
      <c r="E244" s="914"/>
      <c r="F244" s="914"/>
      <c r="G244" s="914"/>
      <c r="H244" s="914"/>
    </row>
    <row r="245" spans="1:15" ht="11.1" customHeight="1">
      <c r="A245" s="850" t="s">
        <v>1282</v>
      </c>
      <c r="B245" s="913"/>
      <c r="C245" s="913"/>
      <c r="D245" s="914"/>
      <c r="E245" s="914"/>
      <c r="F245" s="914"/>
      <c r="G245" s="914"/>
      <c r="H245" s="914"/>
    </row>
    <row r="246" spans="1:15" ht="11.1" customHeight="1">
      <c r="A246" s="850"/>
      <c r="B246" s="913"/>
      <c r="C246" s="913"/>
      <c r="D246" s="914"/>
      <c r="E246" s="914"/>
      <c r="F246" s="914"/>
      <c r="G246" s="914"/>
      <c r="H246" s="914"/>
    </row>
    <row r="250" spans="1:15" ht="15.75" customHeight="1">
      <c r="A250" s="782" t="s">
        <v>919</v>
      </c>
      <c r="B250" s="782"/>
    </row>
    <row r="251" spans="1:15" ht="15.75" customHeight="1">
      <c r="A251" s="782" t="s">
        <v>1052</v>
      </c>
      <c r="B251" s="891"/>
      <c r="C251" s="784"/>
      <c r="D251" s="789"/>
      <c r="E251" s="789"/>
      <c r="F251" s="892"/>
      <c r="G251" s="892"/>
      <c r="H251" s="893"/>
    </row>
    <row r="252" spans="1:15" ht="15.75" customHeight="1">
      <c r="A252" s="792" t="s">
        <v>1053</v>
      </c>
      <c r="B252" s="894"/>
      <c r="C252" s="870"/>
      <c r="D252" s="793"/>
      <c r="E252" s="789"/>
      <c r="F252" s="892"/>
      <c r="G252" s="892"/>
      <c r="H252" s="893"/>
    </row>
    <row r="253" spans="1:15" ht="3.75" customHeight="1">
      <c r="A253" s="895"/>
      <c r="B253" s="794"/>
      <c r="C253" s="794"/>
      <c r="D253" s="795"/>
      <c r="E253" s="896"/>
      <c r="F253" s="896"/>
      <c r="G253" s="896"/>
      <c r="H253" s="896"/>
      <c r="I253" s="896"/>
      <c r="J253" s="896"/>
      <c r="K253" s="896"/>
      <c r="L253" s="896"/>
      <c r="M253" s="896"/>
    </row>
    <row r="254" spans="1:15" ht="3.75" customHeight="1">
      <c r="A254" s="958"/>
      <c r="B254" s="800"/>
      <c r="C254" s="800"/>
      <c r="D254" s="801"/>
      <c r="E254" s="899"/>
      <c r="F254" s="899"/>
      <c r="G254" s="899"/>
      <c r="H254" s="899"/>
      <c r="I254" s="801"/>
      <c r="J254" s="899"/>
      <c r="K254" s="801"/>
      <c r="L254" s="899"/>
      <c r="M254" s="801"/>
      <c r="N254" s="900"/>
      <c r="O254" s="900"/>
    </row>
    <row r="255" spans="1:15" ht="12" customHeight="1">
      <c r="A255" s="905"/>
      <c r="B255" s="901"/>
      <c r="C255" s="901"/>
      <c r="D255" s="901"/>
      <c r="E255" s="805" t="s">
        <v>912</v>
      </c>
      <c r="F255" s="805"/>
      <c r="G255" s="805" t="s">
        <v>146</v>
      </c>
      <c r="H255" s="806"/>
      <c r="I255" s="805" t="s">
        <v>913</v>
      </c>
      <c r="J255" s="805"/>
      <c r="K255" s="805"/>
      <c r="L255" s="805"/>
      <c r="M255" s="805"/>
      <c r="N255" s="805"/>
      <c r="O255" s="805"/>
    </row>
    <row r="256" spans="1:15" ht="12" customHeight="1">
      <c r="A256" s="905"/>
      <c r="B256" s="901"/>
      <c r="C256" s="901"/>
      <c r="D256" s="901"/>
      <c r="E256" s="805"/>
      <c r="F256" s="806"/>
      <c r="G256" s="817" t="s">
        <v>929</v>
      </c>
      <c r="H256" s="813" t="s">
        <v>931</v>
      </c>
      <c r="I256" s="805" t="s">
        <v>922</v>
      </c>
      <c r="J256" s="902"/>
      <c r="K256" s="805" t="s">
        <v>923</v>
      </c>
      <c r="L256" s="902"/>
      <c r="M256" s="806"/>
      <c r="N256" s="903" t="s">
        <v>924</v>
      </c>
      <c r="O256" s="806"/>
    </row>
    <row r="257" spans="1:15" ht="12" customHeight="1">
      <c r="A257" s="905"/>
      <c r="B257" s="901"/>
      <c r="C257" s="901"/>
      <c r="D257" s="901"/>
      <c r="E257" s="817" t="s">
        <v>929</v>
      </c>
      <c r="F257" s="817" t="s">
        <v>930</v>
      </c>
      <c r="G257" s="813" t="s">
        <v>935</v>
      </c>
      <c r="H257" s="813" t="s">
        <v>936</v>
      </c>
      <c r="I257" s="817" t="s">
        <v>932</v>
      </c>
      <c r="J257" s="820" t="s">
        <v>932</v>
      </c>
      <c r="K257" s="813" t="s">
        <v>932</v>
      </c>
      <c r="L257" s="820" t="s">
        <v>932</v>
      </c>
      <c r="M257" s="820" t="s">
        <v>932</v>
      </c>
      <c r="N257" s="820" t="s">
        <v>933</v>
      </c>
      <c r="O257" s="820" t="s">
        <v>932</v>
      </c>
    </row>
    <row r="258" spans="1:15" ht="12" customHeight="1">
      <c r="A258" s="905"/>
      <c r="B258" s="901"/>
      <c r="C258" s="901"/>
      <c r="D258" s="901"/>
      <c r="E258" s="813" t="s">
        <v>935</v>
      </c>
      <c r="F258" s="817" t="s">
        <v>936</v>
      </c>
      <c r="G258" s="813" t="s">
        <v>26</v>
      </c>
      <c r="H258" s="813"/>
      <c r="I258" s="817" t="s">
        <v>937</v>
      </c>
      <c r="J258" s="817" t="s">
        <v>938</v>
      </c>
      <c r="K258" s="817" t="s">
        <v>937</v>
      </c>
      <c r="L258" s="817" t="s">
        <v>938</v>
      </c>
      <c r="M258" s="817" t="s">
        <v>939</v>
      </c>
      <c r="N258" s="817" t="s">
        <v>940</v>
      </c>
      <c r="O258" s="817" t="s">
        <v>940</v>
      </c>
    </row>
    <row r="259" spans="1:15" ht="12" customHeight="1">
      <c r="A259" s="905"/>
      <c r="B259" s="901"/>
      <c r="C259" s="901"/>
      <c r="D259" s="901"/>
      <c r="E259" s="793"/>
      <c r="F259" s="817"/>
      <c r="G259" s="793"/>
      <c r="H259" s="793"/>
      <c r="I259" s="817" t="s">
        <v>941</v>
      </c>
      <c r="J259" s="817" t="s">
        <v>942</v>
      </c>
      <c r="K259" s="817" t="s">
        <v>941</v>
      </c>
      <c r="L259" s="817" t="s">
        <v>940</v>
      </c>
      <c r="M259" s="817" t="s">
        <v>942</v>
      </c>
      <c r="N259" s="813"/>
      <c r="O259" s="813"/>
    </row>
    <row r="260" spans="1:15" ht="12" customHeight="1">
      <c r="A260" s="905"/>
      <c r="B260" s="901"/>
      <c r="C260" s="901"/>
      <c r="D260" s="901"/>
      <c r="E260" s="822"/>
      <c r="F260" s="822"/>
      <c r="G260" s="822"/>
      <c r="H260" s="822"/>
      <c r="I260" s="793"/>
      <c r="J260" s="817" t="s">
        <v>940</v>
      </c>
      <c r="K260" s="793"/>
      <c r="L260" s="793"/>
      <c r="M260" s="817" t="s">
        <v>940</v>
      </c>
      <c r="N260" s="793"/>
      <c r="O260" s="793"/>
    </row>
    <row r="261" spans="1:15" ht="3.75" customHeight="1">
      <c r="A261" s="929"/>
      <c r="B261" s="794"/>
      <c r="C261" s="794"/>
      <c r="D261" s="959"/>
      <c r="E261" s="796"/>
      <c r="F261" s="796"/>
      <c r="G261" s="796"/>
      <c r="H261" s="796"/>
      <c r="I261" s="796"/>
      <c r="J261" s="795"/>
      <c r="K261" s="795"/>
      <c r="L261" s="796"/>
      <c r="M261" s="796"/>
      <c r="N261" s="796"/>
      <c r="O261" s="796"/>
    </row>
    <row r="262" spans="1:15" ht="3.75" customHeight="1">
      <c r="A262" s="960"/>
      <c r="B262" s="961"/>
      <c r="C262" s="961"/>
      <c r="D262" s="908"/>
      <c r="E262" s="962"/>
      <c r="F262" s="962"/>
      <c r="G262" s="962"/>
      <c r="H262" s="962"/>
      <c r="I262" s="962"/>
      <c r="J262" s="962"/>
      <c r="K262" s="962"/>
      <c r="L262" s="962"/>
      <c r="M262" s="962"/>
    </row>
    <row r="263" spans="1:15" ht="12" customHeight="1">
      <c r="A263" s="909" t="s">
        <v>1030</v>
      </c>
      <c r="B263" s="834"/>
      <c r="C263" s="834"/>
      <c r="D263" s="835"/>
      <c r="E263" s="1335" t="s">
        <v>1031</v>
      </c>
      <c r="F263" s="1335"/>
      <c r="G263" s="1335"/>
      <c r="H263" s="1335"/>
      <c r="I263" s="1335"/>
      <c r="J263" s="1335"/>
      <c r="K263" s="1335"/>
      <c r="L263" s="1335"/>
      <c r="M263" s="1335"/>
    </row>
    <row r="264" spans="1:15" ht="3.75" customHeight="1">
      <c r="A264" s="895"/>
      <c r="B264" s="795"/>
      <c r="C264" s="795"/>
      <c r="D264" s="795"/>
      <c r="E264" s="896"/>
      <c r="F264" s="896"/>
      <c r="G264" s="896"/>
      <c r="H264" s="896"/>
      <c r="I264" s="896"/>
      <c r="J264" s="896"/>
      <c r="K264" s="896"/>
      <c r="L264" s="896"/>
      <c r="M264" s="896"/>
      <c r="N264" s="795"/>
      <c r="O264" s="795"/>
    </row>
    <row r="265" spans="1:15" ht="3.75" customHeight="1">
      <c r="A265" s="963"/>
      <c r="B265" s="842"/>
      <c r="C265" s="842"/>
      <c r="D265" s="846"/>
      <c r="E265" s="846"/>
      <c r="F265" s="846"/>
      <c r="G265" s="846"/>
      <c r="H265" s="846"/>
      <c r="I265" s="846"/>
      <c r="J265" s="846"/>
      <c r="K265" s="846"/>
      <c r="L265" s="846"/>
      <c r="M265" s="846"/>
    </row>
    <row r="266" spans="1:15" ht="12.75" customHeight="1">
      <c r="A266" s="910" t="s">
        <v>1283</v>
      </c>
      <c r="B266" s="964" t="s">
        <v>1284</v>
      </c>
      <c r="C266" s="964"/>
      <c r="D266" s="965"/>
      <c r="E266" s="911">
        <v>19.7</v>
      </c>
      <c r="F266" s="911">
        <v>46.7</v>
      </c>
      <c r="G266" s="911">
        <v>23.1</v>
      </c>
      <c r="H266" s="911">
        <v>51.1</v>
      </c>
      <c r="I266" s="911">
        <v>30.8</v>
      </c>
      <c r="J266" s="911">
        <v>32.799999999999997</v>
      </c>
      <c r="K266" s="911">
        <v>53.9</v>
      </c>
      <c r="L266" s="911">
        <v>74.3</v>
      </c>
      <c r="M266" s="911">
        <v>59.1</v>
      </c>
      <c r="N266" s="911">
        <v>63.3</v>
      </c>
      <c r="O266" s="911">
        <v>71.2</v>
      </c>
    </row>
    <row r="267" spans="1:15" ht="3.75" customHeight="1">
      <c r="B267" s="928"/>
      <c r="C267" s="928"/>
      <c r="E267" s="881"/>
      <c r="F267" s="881"/>
      <c r="G267" s="881"/>
      <c r="H267" s="881"/>
      <c r="I267" s="881"/>
      <c r="J267" s="881"/>
      <c r="K267" s="881"/>
      <c r="L267" s="881"/>
      <c r="M267" s="881"/>
      <c r="N267" s="881"/>
      <c r="O267" s="881"/>
    </row>
    <row r="268" spans="1:15" ht="11.1" customHeight="1">
      <c r="A268" s="912" t="s">
        <v>1285</v>
      </c>
      <c r="B268" s="928" t="s">
        <v>1286</v>
      </c>
      <c r="C268" s="928"/>
      <c r="E268" s="914"/>
      <c r="F268" s="914"/>
      <c r="I268" s="914"/>
      <c r="J268" s="890"/>
      <c r="K268" s="914"/>
      <c r="L268" s="890"/>
      <c r="M268" s="914"/>
      <c r="N268" s="914"/>
      <c r="O268" s="914"/>
    </row>
    <row r="269" spans="1:15" ht="11.1" customHeight="1">
      <c r="B269" s="928" t="s">
        <v>1287</v>
      </c>
      <c r="C269" s="928"/>
      <c r="E269" s="914">
        <v>0.7</v>
      </c>
      <c r="F269" s="914">
        <v>4.4000000000000004</v>
      </c>
      <c r="G269" s="914">
        <v>3.8</v>
      </c>
      <c r="H269" s="914">
        <v>5.9</v>
      </c>
      <c r="I269" s="919">
        <v>6</v>
      </c>
      <c r="J269" s="919">
        <v>0.9</v>
      </c>
      <c r="K269" s="914">
        <v>4</v>
      </c>
      <c r="L269" s="914">
        <v>8.1</v>
      </c>
      <c r="M269" s="914">
        <v>3.5</v>
      </c>
      <c r="N269" s="914">
        <v>6.2</v>
      </c>
      <c r="O269" s="914">
        <v>9</v>
      </c>
    </row>
    <row r="270" spans="1:15" ht="11.1" customHeight="1">
      <c r="A270" s="917"/>
      <c r="B270" s="898" t="s">
        <v>1288</v>
      </c>
      <c r="C270" s="918" t="s">
        <v>1289</v>
      </c>
      <c r="D270" s="917"/>
      <c r="E270" s="919">
        <v>0.2</v>
      </c>
      <c r="F270" s="914">
        <v>0.8</v>
      </c>
      <c r="G270" s="914">
        <v>0.8</v>
      </c>
      <c r="H270" s="914">
        <v>1.2</v>
      </c>
      <c r="I270" s="844" t="s">
        <v>1036</v>
      </c>
      <c r="J270" s="844" t="s">
        <v>1036</v>
      </c>
      <c r="K270" s="914">
        <v>1.4</v>
      </c>
      <c r="L270" s="914">
        <v>1.6</v>
      </c>
      <c r="M270" s="919">
        <v>0.6</v>
      </c>
      <c r="N270" s="914">
        <v>0.7</v>
      </c>
      <c r="O270" s="914">
        <v>1.6</v>
      </c>
    </row>
    <row r="271" spans="1:15" ht="11.1" customHeight="1">
      <c r="A271" s="917"/>
      <c r="B271" s="898" t="s">
        <v>1290</v>
      </c>
      <c r="C271" s="918" t="s">
        <v>1291</v>
      </c>
      <c r="D271" s="917"/>
      <c r="E271" s="914">
        <v>0.5</v>
      </c>
      <c r="F271" s="914">
        <v>2.2999999999999998</v>
      </c>
      <c r="G271" s="914">
        <v>2.9</v>
      </c>
      <c r="H271" s="914">
        <v>4.3</v>
      </c>
      <c r="I271" s="919">
        <v>5.9</v>
      </c>
      <c r="J271" s="844" t="s">
        <v>1036</v>
      </c>
      <c r="K271" s="914">
        <v>2.4</v>
      </c>
      <c r="L271" s="914">
        <v>6.3</v>
      </c>
      <c r="M271" s="914">
        <v>2.9</v>
      </c>
      <c r="N271" s="914">
        <v>5.3</v>
      </c>
      <c r="O271" s="914">
        <v>7.3</v>
      </c>
    </row>
    <row r="272" spans="1:15" ht="11.1" customHeight="1">
      <c r="A272" s="917"/>
      <c r="B272" s="898" t="s">
        <v>1292</v>
      </c>
      <c r="C272" s="918" t="s">
        <v>1293</v>
      </c>
      <c r="D272" s="917"/>
      <c r="E272" s="844" t="s">
        <v>1036</v>
      </c>
      <c r="F272" s="844" t="s">
        <v>1036</v>
      </c>
      <c r="G272" s="844" t="s">
        <v>1036</v>
      </c>
      <c r="H272" s="919">
        <v>0.4</v>
      </c>
      <c r="I272" s="844" t="s">
        <v>1036</v>
      </c>
      <c r="J272" s="844" t="s">
        <v>1036</v>
      </c>
      <c r="K272" s="844" t="s">
        <v>1036</v>
      </c>
      <c r="L272" s="844" t="s">
        <v>1036</v>
      </c>
      <c r="M272" s="844" t="s">
        <v>1036</v>
      </c>
      <c r="N272" s="844" t="s">
        <v>1036</v>
      </c>
      <c r="O272" s="844" t="s">
        <v>1036</v>
      </c>
    </row>
    <row r="273" spans="1:15" ht="3.75" customHeight="1">
      <c r="B273" s="913"/>
      <c r="C273" s="913"/>
      <c r="D273" s="914"/>
      <c r="E273" s="914"/>
      <c r="F273" s="914"/>
      <c r="G273" s="914"/>
      <c r="H273" s="914"/>
      <c r="I273" s="914"/>
      <c r="J273" s="914"/>
      <c r="K273" s="914"/>
      <c r="L273" s="914"/>
      <c r="M273" s="914"/>
      <c r="N273" s="914"/>
      <c r="O273" s="914"/>
    </row>
    <row r="274" spans="1:15" ht="11.1" customHeight="1">
      <c r="A274" s="912" t="s">
        <v>1294</v>
      </c>
      <c r="B274" s="913" t="s">
        <v>1295</v>
      </c>
      <c r="C274" s="913"/>
      <c r="D274" s="914"/>
      <c r="E274" s="844" t="s">
        <v>1036</v>
      </c>
      <c r="F274" s="914">
        <v>3.6</v>
      </c>
      <c r="G274" s="919">
        <v>0.6</v>
      </c>
      <c r="H274" s="914">
        <v>4.0999999999999996</v>
      </c>
      <c r="I274" s="844" t="s">
        <v>1036</v>
      </c>
      <c r="J274" s="844" t="s">
        <v>1035</v>
      </c>
      <c r="K274" s="844" t="s">
        <v>1036</v>
      </c>
      <c r="L274" s="919">
        <v>1.8</v>
      </c>
      <c r="M274" s="844" t="s">
        <v>1036</v>
      </c>
      <c r="N274" s="919">
        <v>5</v>
      </c>
      <c r="O274" s="844" t="s">
        <v>1036</v>
      </c>
    </row>
    <row r="275" spans="1:15" ht="3.75" customHeight="1">
      <c r="E275" s="914"/>
      <c r="F275" s="914"/>
      <c r="G275" s="919"/>
      <c r="H275" s="919"/>
      <c r="I275" s="914"/>
      <c r="J275" s="914"/>
      <c r="K275" s="914"/>
      <c r="L275" s="914"/>
      <c r="M275" s="914"/>
      <c r="N275" s="914"/>
      <c r="O275" s="914"/>
    </row>
    <row r="276" spans="1:15" ht="11.1" customHeight="1">
      <c r="A276" s="912" t="s">
        <v>1296</v>
      </c>
      <c r="B276" s="807" t="s">
        <v>1297</v>
      </c>
      <c r="E276" s="914"/>
      <c r="F276" s="914"/>
      <c r="G276" s="914"/>
      <c r="H276" s="914"/>
      <c r="I276" s="914"/>
      <c r="J276" s="914"/>
      <c r="K276" s="914"/>
      <c r="L276" s="914"/>
      <c r="M276" s="914"/>
      <c r="N276" s="914"/>
      <c r="O276" s="914"/>
    </row>
    <row r="277" spans="1:15" ht="11.1" customHeight="1">
      <c r="A277" s="966"/>
      <c r="B277" s="803" t="s">
        <v>1298</v>
      </c>
      <c r="C277" s="803"/>
      <c r="D277" s="803"/>
      <c r="E277" s="914">
        <v>6.4</v>
      </c>
      <c r="F277" s="914">
        <v>14.8</v>
      </c>
      <c r="G277" s="914">
        <v>6.1</v>
      </c>
      <c r="H277" s="914">
        <v>18.899999999999999</v>
      </c>
      <c r="I277" s="914">
        <v>11.7</v>
      </c>
      <c r="J277" s="914">
        <v>11.6</v>
      </c>
      <c r="K277" s="914">
        <v>18.899999999999999</v>
      </c>
      <c r="L277" s="914">
        <v>30.9</v>
      </c>
      <c r="M277" s="914">
        <v>22.3</v>
      </c>
      <c r="N277" s="914">
        <v>24</v>
      </c>
      <c r="O277" s="914">
        <v>26.4</v>
      </c>
    </row>
    <row r="278" spans="1:15" ht="11.1" customHeight="1">
      <c r="A278" s="801"/>
      <c r="B278" s="898" t="s">
        <v>1299</v>
      </c>
      <c r="C278" s="799" t="s">
        <v>1300</v>
      </c>
      <c r="D278" s="801"/>
      <c r="E278" s="914">
        <v>0.5</v>
      </c>
      <c r="F278" s="914">
        <v>2</v>
      </c>
      <c r="G278" s="914">
        <v>0.7</v>
      </c>
      <c r="H278" s="914">
        <v>1.9</v>
      </c>
      <c r="I278" s="914">
        <v>3.5</v>
      </c>
      <c r="J278" s="914">
        <v>4.3</v>
      </c>
      <c r="K278" s="914">
        <v>6.1</v>
      </c>
      <c r="L278" s="914">
        <v>9.3000000000000007</v>
      </c>
      <c r="M278" s="914">
        <v>5.8</v>
      </c>
      <c r="N278" s="914">
        <v>2.9</v>
      </c>
      <c r="O278" s="914">
        <v>5.3</v>
      </c>
    </row>
    <row r="279" spans="1:15" ht="11.1" customHeight="1">
      <c r="A279" s="967"/>
      <c r="B279" s="898" t="s">
        <v>1301</v>
      </c>
      <c r="C279" s="799" t="s">
        <v>1302</v>
      </c>
      <c r="D279" s="967"/>
      <c r="E279" s="919">
        <v>0.2</v>
      </c>
      <c r="F279" s="914">
        <v>0.3</v>
      </c>
      <c r="G279" s="914">
        <v>0.4</v>
      </c>
      <c r="H279" s="914">
        <v>1.2</v>
      </c>
      <c r="I279" s="920">
        <v>0.9</v>
      </c>
      <c r="J279" s="919">
        <v>0.8</v>
      </c>
      <c r="K279" s="914">
        <v>1.2</v>
      </c>
      <c r="L279" s="914">
        <v>2.6</v>
      </c>
      <c r="M279" s="914">
        <v>1.2</v>
      </c>
      <c r="N279" s="914">
        <v>2.4</v>
      </c>
      <c r="O279" s="914">
        <v>3</v>
      </c>
    </row>
    <row r="280" spans="1:15" ht="11.1" customHeight="1">
      <c r="A280" s="801"/>
      <c r="B280" s="898" t="s">
        <v>1303</v>
      </c>
      <c r="C280" s="799" t="s">
        <v>1304</v>
      </c>
      <c r="D280" s="801"/>
      <c r="E280" s="920" t="s">
        <v>1036</v>
      </c>
      <c r="F280" s="914">
        <v>0.4</v>
      </c>
      <c r="G280" s="914">
        <v>0.7</v>
      </c>
      <c r="H280" s="914">
        <v>1.7</v>
      </c>
      <c r="I280" s="920" t="s">
        <v>1036</v>
      </c>
      <c r="J280" s="920" t="s">
        <v>1036</v>
      </c>
      <c r="K280" s="914">
        <v>1.9</v>
      </c>
      <c r="L280" s="914">
        <v>1.9</v>
      </c>
      <c r="M280" s="914">
        <v>1.5</v>
      </c>
      <c r="N280" s="914">
        <v>3</v>
      </c>
      <c r="O280" s="914">
        <v>5.9</v>
      </c>
    </row>
    <row r="281" spans="1:15" ht="11.1" customHeight="1">
      <c r="A281" s="801"/>
      <c r="B281" s="898" t="s">
        <v>1305</v>
      </c>
      <c r="C281" s="799" t="s">
        <v>1306</v>
      </c>
      <c r="D281" s="801"/>
      <c r="E281" s="914">
        <v>2.8</v>
      </c>
      <c r="F281" s="914">
        <v>5.9</v>
      </c>
      <c r="G281" s="914">
        <v>1.5</v>
      </c>
      <c r="H281" s="914">
        <v>4.7</v>
      </c>
      <c r="I281" s="914">
        <v>1.7</v>
      </c>
      <c r="J281" s="914">
        <v>1.7</v>
      </c>
      <c r="K281" s="914">
        <v>3.4</v>
      </c>
      <c r="L281" s="914">
        <v>4.0999999999999996</v>
      </c>
      <c r="M281" s="914">
        <v>6.3</v>
      </c>
      <c r="N281" s="914">
        <v>6.3</v>
      </c>
      <c r="O281" s="914">
        <v>5.2</v>
      </c>
    </row>
    <row r="282" spans="1:15" ht="11.1" customHeight="1">
      <c r="A282" s="967"/>
      <c r="B282" s="968" t="s">
        <v>1307</v>
      </c>
      <c r="C282" s="969" t="s">
        <v>1308</v>
      </c>
      <c r="D282" s="967"/>
      <c r="E282" s="914">
        <v>2.4</v>
      </c>
      <c r="F282" s="914">
        <v>6.2</v>
      </c>
      <c r="G282" s="914">
        <v>2.8</v>
      </c>
      <c r="H282" s="914">
        <v>9.3000000000000007</v>
      </c>
      <c r="I282" s="914">
        <v>4.8</v>
      </c>
      <c r="J282" s="914">
        <v>3.9</v>
      </c>
      <c r="K282" s="914">
        <v>6.3</v>
      </c>
      <c r="L282" s="914">
        <v>12.9</v>
      </c>
      <c r="M282" s="914">
        <v>7.5</v>
      </c>
      <c r="N282" s="914">
        <v>9.4</v>
      </c>
      <c r="O282" s="914">
        <v>7</v>
      </c>
    </row>
    <row r="283" spans="1:15" ht="3.75" customHeight="1">
      <c r="E283" s="914"/>
      <c r="F283" s="914"/>
      <c r="G283" s="914"/>
      <c r="H283" s="914"/>
      <c r="I283" s="914"/>
      <c r="J283" s="914"/>
      <c r="K283" s="914"/>
      <c r="L283" s="914"/>
      <c r="M283" s="914"/>
      <c r="N283" s="914"/>
      <c r="O283" s="914"/>
    </row>
    <row r="284" spans="1:15" ht="11.1" customHeight="1">
      <c r="A284" s="912" t="s">
        <v>1309</v>
      </c>
      <c r="B284" s="807" t="s">
        <v>1310</v>
      </c>
      <c r="E284" s="914">
        <v>4.5999999999999996</v>
      </c>
      <c r="F284" s="914">
        <v>9.1</v>
      </c>
      <c r="G284" s="914">
        <v>6.8</v>
      </c>
      <c r="H284" s="914">
        <v>11.2</v>
      </c>
      <c r="I284" s="914">
        <v>6.2</v>
      </c>
      <c r="J284" s="914">
        <v>15.8</v>
      </c>
      <c r="K284" s="914">
        <v>13.7</v>
      </c>
      <c r="L284" s="914">
        <v>18.899999999999999</v>
      </c>
      <c r="M284" s="914">
        <v>18.2</v>
      </c>
      <c r="N284" s="914">
        <v>16.7</v>
      </c>
      <c r="O284" s="914">
        <v>18.5</v>
      </c>
    </row>
    <row r="285" spans="1:15" ht="11.1" customHeight="1">
      <c r="A285" s="801"/>
      <c r="B285" s="898" t="s">
        <v>1311</v>
      </c>
      <c r="C285" s="799" t="s">
        <v>1312</v>
      </c>
      <c r="D285" s="801"/>
      <c r="E285" s="914"/>
      <c r="F285" s="914"/>
      <c r="G285" s="914"/>
      <c r="H285" s="914"/>
      <c r="I285" s="914"/>
      <c r="J285" s="914"/>
      <c r="K285" s="914"/>
      <c r="L285" s="914"/>
      <c r="M285" s="914"/>
      <c r="N285" s="914"/>
      <c r="O285" s="914"/>
    </row>
    <row r="286" spans="1:15" ht="11.1" customHeight="1">
      <c r="A286" s="801"/>
      <c r="B286" s="898"/>
      <c r="C286" s="799" t="s">
        <v>1313</v>
      </c>
      <c r="D286" s="801"/>
      <c r="E286" s="914">
        <v>1</v>
      </c>
      <c r="F286" s="914">
        <v>2.6</v>
      </c>
      <c r="G286" s="914">
        <v>1.6</v>
      </c>
      <c r="H286" s="914">
        <v>2.6</v>
      </c>
      <c r="I286" s="919">
        <v>1.2</v>
      </c>
      <c r="J286" s="914">
        <v>4.0999999999999996</v>
      </c>
      <c r="K286" s="914">
        <v>4.0999999999999996</v>
      </c>
      <c r="L286" s="914">
        <v>8.1999999999999993</v>
      </c>
      <c r="M286" s="914">
        <v>9.1999999999999993</v>
      </c>
      <c r="N286" s="914">
        <v>5.6</v>
      </c>
      <c r="O286" s="914">
        <v>9.6</v>
      </c>
    </row>
    <row r="287" spans="1:15" ht="11.1" customHeight="1">
      <c r="A287" s="801"/>
      <c r="B287" s="898" t="s">
        <v>1314</v>
      </c>
      <c r="C287" s="799" t="s">
        <v>1315</v>
      </c>
      <c r="D287" s="801"/>
      <c r="E287" s="919">
        <v>0.1</v>
      </c>
      <c r="F287" s="914">
        <v>0.6</v>
      </c>
      <c r="G287" s="914">
        <v>0.1</v>
      </c>
      <c r="H287" s="914">
        <v>0.9</v>
      </c>
      <c r="I287" s="844" t="s">
        <v>1035</v>
      </c>
      <c r="J287" s="920" t="s">
        <v>1036</v>
      </c>
      <c r="K287" s="914">
        <v>0.9</v>
      </c>
      <c r="L287" s="914">
        <v>1.9</v>
      </c>
      <c r="M287" s="920" t="s">
        <v>1036</v>
      </c>
      <c r="N287" s="919">
        <v>1.3</v>
      </c>
      <c r="O287" s="920" t="s">
        <v>1036</v>
      </c>
    </row>
    <row r="288" spans="1:15" ht="11.1" customHeight="1">
      <c r="A288" s="801"/>
      <c r="B288" s="898" t="s">
        <v>1316</v>
      </c>
      <c r="C288" s="799" t="s">
        <v>1317</v>
      </c>
      <c r="D288" s="801"/>
      <c r="E288" s="914"/>
      <c r="F288" s="914"/>
      <c r="G288" s="914"/>
      <c r="H288" s="914"/>
      <c r="I288" s="914"/>
      <c r="J288" s="914"/>
      <c r="K288" s="914"/>
      <c r="L288" s="914"/>
      <c r="M288" s="914"/>
      <c r="N288" s="914"/>
      <c r="O288" s="914"/>
    </row>
    <row r="289" spans="1:15" ht="11.1" customHeight="1">
      <c r="A289" s="801"/>
      <c r="B289" s="898"/>
      <c r="C289" s="799" t="s">
        <v>1318</v>
      </c>
      <c r="D289" s="801"/>
      <c r="E289" s="914">
        <v>2.1</v>
      </c>
      <c r="F289" s="914">
        <v>3.8</v>
      </c>
      <c r="G289" s="914">
        <v>4.0999999999999996</v>
      </c>
      <c r="H289" s="914">
        <v>5.8</v>
      </c>
      <c r="I289" s="914">
        <v>4.3</v>
      </c>
      <c r="J289" s="914">
        <v>5.3</v>
      </c>
      <c r="K289" s="914">
        <v>6.2</v>
      </c>
      <c r="L289" s="914">
        <v>6.9</v>
      </c>
      <c r="M289" s="914">
        <v>7.1</v>
      </c>
      <c r="N289" s="914">
        <v>6.8</v>
      </c>
      <c r="O289" s="914">
        <v>6.8</v>
      </c>
    </row>
    <row r="290" spans="1:15" ht="11.1" customHeight="1">
      <c r="A290" s="801"/>
      <c r="B290" s="898" t="s">
        <v>1319</v>
      </c>
      <c r="C290" s="799" t="s">
        <v>1320</v>
      </c>
      <c r="D290" s="801"/>
      <c r="E290" s="914">
        <v>0.5</v>
      </c>
      <c r="F290" s="914">
        <v>0.9</v>
      </c>
      <c r="G290" s="914">
        <v>0.2</v>
      </c>
      <c r="H290" s="914">
        <v>0.6</v>
      </c>
      <c r="I290" s="844" t="s">
        <v>1036</v>
      </c>
      <c r="J290" s="844" t="s">
        <v>1036</v>
      </c>
      <c r="K290" s="914">
        <v>0.8</v>
      </c>
      <c r="L290" s="914">
        <v>0.9</v>
      </c>
      <c r="M290" s="914">
        <v>1.1000000000000001</v>
      </c>
      <c r="N290" s="914">
        <v>0.8</v>
      </c>
      <c r="O290" s="914">
        <v>0.6</v>
      </c>
    </row>
    <row r="291" spans="1:15" ht="11.1" customHeight="1">
      <c r="A291" s="801"/>
      <c r="B291" s="898" t="s">
        <v>1321</v>
      </c>
      <c r="C291" s="799" t="s">
        <v>1322</v>
      </c>
      <c r="D291" s="801"/>
      <c r="E291" s="914"/>
      <c r="F291" s="914"/>
      <c r="G291" s="914"/>
      <c r="H291" s="914"/>
      <c r="I291" s="914"/>
      <c r="J291" s="914"/>
      <c r="K291" s="914"/>
      <c r="L291" s="914"/>
      <c r="M291" s="914"/>
      <c r="N291" s="914"/>
      <c r="O291" s="914"/>
    </row>
    <row r="292" spans="1:15" ht="11.1" customHeight="1">
      <c r="A292" s="801"/>
      <c r="B292" s="898"/>
      <c r="C292" s="799" t="s">
        <v>1323</v>
      </c>
      <c r="D292" s="801"/>
      <c r="E292" s="844" t="s">
        <v>1036</v>
      </c>
      <c r="F292" s="919">
        <v>0.1</v>
      </c>
      <c r="G292" s="844" t="s">
        <v>1036</v>
      </c>
      <c r="H292" s="914">
        <v>0.1</v>
      </c>
      <c r="I292" s="844" t="s">
        <v>1035</v>
      </c>
      <c r="J292" s="844" t="s">
        <v>1036</v>
      </c>
      <c r="K292" s="919">
        <v>0.8</v>
      </c>
      <c r="L292" s="919">
        <v>0.2</v>
      </c>
      <c r="M292" s="844" t="s">
        <v>1036</v>
      </c>
      <c r="N292" s="844" t="s">
        <v>1036</v>
      </c>
      <c r="O292" s="844" t="s">
        <v>1036</v>
      </c>
    </row>
    <row r="293" spans="1:15" ht="11.1" customHeight="1">
      <c r="A293" s="801"/>
      <c r="B293" s="898" t="s">
        <v>1324</v>
      </c>
      <c r="C293" s="799" t="s">
        <v>1325</v>
      </c>
      <c r="D293" s="801"/>
      <c r="E293" s="914">
        <v>1</v>
      </c>
      <c r="F293" s="914">
        <v>1.1000000000000001</v>
      </c>
      <c r="G293" s="914">
        <v>0.8</v>
      </c>
      <c r="H293" s="914">
        <v>1.3</v>
      </c>
      <c r="I293" s="919">
        <v>0.4</v>
      </c>
      <c r="J293" s="844" t="s">
        <v>1036</v>
      </c>
      <c r="K293" s="914">
        <v>0.9</v>
      </c>
      <c r="L293" s="914">
        <v>0.8</v>
      </c>
      <c r="M293" s="919">
        <v>0.4</v>
      </c>
      <c r="N293" s="914">
        <v>2.2999999999999998</v>
      </c>
      <c r="O293" s="914">
        <v>1.3</v>
      </c>
    </row>
    <row r="294" spans="1:15" ht="3.75" customHeight="1">
      <c r="C294" s="798"/>
      <c r="E294" s="914"/>
      <c r="F294" s="914"/>
      <c r="G294" s="914"/>
      <c r="H294" s="914"/>
      <c r="I294" s="914"/>
      <c r="J294" s="914"/>
      <c r="K294" s="914"/>
      <c r="L294" s="914"/>
      <c r="M294" s="914"/>
      <c r="N294" s="914"/>
      <c r="O294" s="914"/>
    </row>
    <row r="295" spans="1:15" ht="11.1" customHeight="1">
      <c r="A295" s="912" t="s">
        <v>1326</v>
      </c>
      <c r="B295" s="807" t="s">
        <v>1327</v>
      </c>
      <c r="C295" s="798"/>
      <c r="E295" s="914">
        <v>4.5</v>
      </c>
      <c r="F295" s="914">
        <v>7.2</v>
      </c>
      <c r="G295" s="914">
        <v>2.4</v>
      </c>
      <c r="H295" s="914">
        <v>4.5</v>
      </c>
      <c r="I295" s="914">
        <v>2.7</v>
      </c>
      <c r="J295" s="914">
        <v>3.1</v>
      </c>
      <c r="K295" s="914">
        <v>4.3</v>
      </c>
      <c r="L295" s="914">
        <v>6.6</v>
      </c>
      <c r="M295" s="914">
        <v>7.3</v>
      </c>
      <c r="N295" s="914">
        <v>5.9</v>
      </c>
      <c r="O295" s="914">
        <v>6.6</v>
      </c>
    </row>
    <row r="296" spans="1:15" ht="11.1" customHeight="1">
      <c r="A296" s="801"/>
      <c r="B296" s="898" t="s">
        <v>1328</v>
      </c>
      <c r="C296" s="801" t="s">
        <v>1329</v>
      </c>
      <c r="D296" s="801"/>
      <c r="E296" s="914">
        <v>0.9</v>
      </c>
      <c r="F296" s="914">
        <v>1</v>
      </c>
      <c r="G296" s="914">
        <v>0.8</v>
      </c>
      <c r="H296" s="914">
        <v>1.3</v>
      </c>
      <c r="I296" s="919">
        <v>0.4</v>
      </c>
      <c r="J296" s="919">
        <v>0.9</v>
      </c>
      <c r="K296" s="914">
        <v>1.2</v>
      </c>
      <c r="L296" s="914">
        <v>2.2999999999999998</v>
      </c>
      <c r="M296" s="914">
        <v>4</v>
      </c>
      <c r="N296" s="914">
        <v>1.7</v>
      </c>
      <c r="O296" s="914">
        <v>2.5</v>
      </c>
    </row>
    <row r="297" spans="1:15" ht="11.1" customHeight="1">
      <c r="A297" s="801"/>
      <c r="B297" s="898" t="s">
        <v>1330</v>
      </c>
      <c r="C297" s="799" t="s">
        <v>1331</v>
      </c>
      <c r="D297" s="801"/>
      <c r="E297" s="914">
        <v>1</v>
      </c>
      <c r="F297" s="914">
        <v>2.1</v>
      </c>
      <c r="G297" s="914">
        <v>0.8</v>
      </c>
      <c r="H297" s="914">
        <v>2</v>
      </c>
      <c r="I297" s="914">
        <v>1.9</v>
      </c>
      <c r="J297" s="914">
        <v>1.9</v>
      </c>
      <c r="K297" s="914">
        <v>2.4</v>
      </c>
      <c r="L297" s="914">
        <v>3.5</v>
      </c>
      <c r="M297" s="914">
        <v>2.5</v>
      </c>
      <c r="N297" s="914">
        <v>2.7</v>
      </c>
      <c r="O297" s="914">
        <v>3.1</v>
      </c>
    </row>
    <row r="298" spans="1:15" ht="11.1" customHeight="1">
      <c r="A298" s="801"/>
      <c r="B298" s="898" t="s">
        <v>1332</v>
      </c>
      <c r="C298" s="799" t="s">
        <v>1333</v>
      </c>
      <c r="D298" s="801"/>
      <c r="E298" s="914">
        <v>1.8</v>
      </c>
      <c r="F298" s="914">
        <v>3.2</v>
      </c>
      <c r="G298" s="914">
        <v>0.5</v>
      </c>
      <c r="H298" s="914">
        <v>0.8</v>
      </c>
      <c r="I298" s="920" t="s">
        <v>1036</v>
      </c>
      <c r="J298" s="920" t="s">
        <v>1036</v>
      </c>
      <c r="K298" s="914">
        <v>0.2</v>
      </c>
      <c r="L298" s="914">
        <v>0.2</v>
      </c>
      <c r="M298" s="919">
        <v>0.1</v>
      </c>
      <c r="N298" s="914">
        <v>1</v>
      </c>
      <c r="O298" s="914">
        <v>0.5</v>
      </c>
    </row>
    <row r="299" spans="1:15" ht="11.1" customHeight="1">
      <c r="A299" s="801"/>
      <c r="B299" s="898" t="s">
        <v>1334</v>
      </c>
      <c r="C299" s="799" t="s">
        <v>1335</v>
      </c>
      <c r="D299" s="801"/>
      <c r="E299" s="914">
        <v>0.7</v>
      </c>
      <c r="F299" s="914">
        <v>1</v>
      </c>
      <c r="G299" s="914">
        <v>0.3</v>
      </c>
      <c r="H299" s="914">
        <v>0.5</v>
      </c>
      <c r="I299" s="919">
        <v>0.3</v>
      </c>
      <c r="J299" s="920" t="s">
        <v>1036</v>
      </c>
      <c r="K299" s="914">
        <v>0.5</v>
      </c>
      <c r="L299" s="914">
        <v>0.5</v>
      </c>
      <c r="M299" s="914">
        <v>0.8</v>
      </c>
      <c r="N299" s="914">
        <v>0.5</v>
      </c>
      <c r="O299" s="914">
        <v>0.5</v>
      </c>
    </row>
    <row r="300" spans="1:15" ht="3.75" customHeight="1">
      <c r="C300" s="798"/>
      <c r="E300" s="914"/>
      <c r="F300" s="914"/>
      <c r="G300" s="914"/>
      <c r="H300" s="914"/>
      <c r="I300" s="914"/>
      <c r="J300" s="914"/>
      <c r="K300" s="914"/>
      <c r="L300" s="914"/>
      <c r="M300" s="914"/>
      <c r="N300" s="914"/>
      <c r="O300" s="914"/>
    </row>
    <row r="301" spans="1:15" ht="11.1" customHeight="1">
      <c r="A301" s="912" t="s">
        <v>1336</v>
      </c>
      <c r="B301" s="807" t="s">
        <v>1337</v>
      </c>
      <c r="C301" s="798"/>
      <c r="E301" s="914">
        <v>2.5</v>
      </c>
      <c r="F301" s="914">
        <v>7.6</v>
      </c>
      <c r="G301" s="914">
        <v>3.4</v>
      </c>
      <c r="H301" s="914">
        <v>6.5</v>
      </c>
      <c r="I301" s="920" t="s">
        <v>1036</v>
      </c>
      <c r="J301" s="920" t="s">
        <v>1036</v>
      </c>
      <c r="K301" s="914">
        <v>11.1</v>
      </c>
      <c r="L301" s="914">
        <v>8</v>
      </c>
      <c r="M301" s="919">
        <v>3.2</v>
      </c>
      <c r="N301" s="914">
        <v>5.5</v>
      </c>
      <c r="O301" s="919">
        <v>9.4</v>
      </c>
    </row>
    <row r="302" spans="1:15" ht="11.1" customHeight="1">
      <c r="A302" s="801"/>
      <c r="B302" s="898" t="s">
        <v>1338</v>
      </c>
      <c r="C302" s="799" t="s">
        <v>1339</v>
      </c>
      <c r="D302" s="801"/>
      <c r="E302" s="844" t="s">
        <v>1036</v>
      </c>
      <c r="F302" s="919">
        <v>0.7</v>
      </c>
      <c r="G302" s="919">
        <v>0.3</v>
      </c>
      <c r="H302" s="914">
        <v>0.9</v>
      </c>
      <c r="I302" s="920" t="s">
        <v>1036</v>
      </c>
      <c r="J302" s="920" t="s">
        <v>1036</v>
      </c>
      <c r="K302" s="920" t="s">
        <v>1036</v>
      </c>
      <c r="L302" s="919">
        <v>1</v>
      </c>
      <c r="M302" s="920" t="s">
        <v>1036</v>
      </c>
      <c r="N302" s="919">
        <v>1.7</v>
      </c>
      <c r="O302" s="844" t="s">
        <v>1036</v>
      </c>
    </row>
    <row r="303" spans="1:15" ht="11.1" customHeight="1">
      <c r="A303" s="801"/>
      <c r="B303" s="898" t="s">
        <v>1340</v>
      </c>
      <c r="C303" s="799" t="s">
        <v>1341</v>
      </c>
      <c r="D303" s="801"/>
      <c r="E303" s="919">
        <v>2.2000000000000002</v>
      </c>
      <c r="F303" s="914">
        <v>6.9</v>
      </c>
      <c r="G303" s="914">
        <v>3.1</v>
      </c>
      <c r="H303" s="914">
        <v>5.7</v>
      </c>
      <c r="I303" s="920" t="s">
        <v>1036</v>
      </c>
      <c r="J303" s="920" t="s">
        <v>1036</v>
      </c>
      <c r="K303" s="919">
        <v>10.4</v>
      </c>
      <c r="L303" s="914">
        <v>7</v>
      </c>
      <c r="M303" s="920" t="s">
        <v>1036</v>
      </c>
      <c r="N303" s="919">
        <v>3.9</v>
      </c>
      <c r="O303" s="919">
        <v>8</v>
      </c>
    </row>
    <row r="304" spans="1:15" ht="3.75" customHeight="1">
      <c r="E304" s="914"/>
      <c r="F304" s="914"/>
      <c r="G304" s="914"/>
      <c r="H304" s="914"/>
      <c r="I304" s="934"/>
      <c r="J304" s="934"/>
      <c r="K304" s="934"/>
      <c r="L304" s="934"/>
      <c r="M304" s="934"/>
      <c r="N304" s="934"/>
      <c r="O304" s="934"/>
    </row>
    <row r="305" spans="1:15" ht="3.75" customHeight="1">
      <c r="A305" s="960"/>
      <c r="B305" s="970"/>
      <c r="C305" s="970"/>
      <c r="D305" s="908"/>
      <c r="E305" s="971"/>
      <c r="F305" s="971"/>
      <c r="G305" s="971"/>
      <c r="H305" s="971"/>
      <c r="I305" s="914"/>
      <c r="J305" s="914"/>
      <c r="K305" s="914"/>
      <c r="L305" s="914"/>
      <c r="M305" s="914"/>
      <c r="N305" s="914"/>
      <c r="O305" s="914"/>
    </row>
    <row r="306" spans="1:15" ht="12.75" customHeight="1">
      <c r="A306" s="910" t="s">
        <v>1342</v>
      </c>
      <c r="B306" s="873" t="s">
        <v>1034</v>
      </c>
      <c r="C306" s="873"/>
      <c r="D306" s="874"/>
      <c r="E306" s="865" t="s">
        <v>1036</v>
      </c>
      <c r="F306" s="865" t="s">
        <v>1036</v>
      </c>
      <c r="G306" s="972">
        <v>2.4</v>
      </c>
      <c r="H306" s="911">
        <v>1.8</v>
      </c>
      <c r="I306" s="865" t="s">
        <v>1036</v>
      </c>
      <c r="J306" s="865" t="s">
        <v>1036</v>
      </c>
      <c r="K306" s="911">
        <v>10.8</v>
      </c>
      <c r="L306" s="911">
        <v>17.399999999999999</v>
      </c>
      <c r="M306" s="972">
        <v>7</v>
      </c>
      <c r="N306" s="911">
        <v>33.200000000000003</v>
      </c>
      <c r="O306" s="911">
        <v>34.200000000000003</v>
      </c>
    </row>
    <row r="307" spans="1:15" ht="3.75" customHeight="1">
      <c r="E307" s="973"/>
      <c r="F307" s="973"/>
      <c r="G307" s="914"/>
      <c r="H307" s="914"/>
      <c r="I307" s="973"/>
      <c r="J307" s="973"/>
      <c r="K307" s="973"/>
      <c r="L307" s="973"/>
      <c r="M307" s="973"/>
      <c r="N307" s="973"/>
      <c r="O307" s="973"/>
    </row>
    <row r="308" spans="1:15" ht="11.1" customHeight="1">
      <c r="A308" s="912" t="s">
        <v>1343</v>
      </c>
      <c r="B308" s="807" t="s">
        <v>1344</v>
      </c>
      <c r="E308" s="844" t="s">
        <v>1036</v>
      </c>
      <c r="F308" s="844" t="s">
        <v>1036</v>
      </c>
      <c r="G308" s="919">
        <v>2.4</v>
      </c>
      <c r="H308" s="914">
        <v>1.8</v>
      </c>
      <c r="I308" s="844" t="s">
        <v>1036</v>
      </c>
      <c r="J308" s="844" t="s">
        <v>1036</v>
      </c>
      <c r="K308" s="919">
        <v>10.4</v>
      </c>
      <c r="L308" s="914">
        <v>16.7</v>
      </c>
      <c r="M308" s="844" t="s">
        <v>1036</v>
      </c>
      <c r="N308" s="844">
        <v>33.200000000000003</v>
      </c>
      <c r="O308" s="844">
        <v>34.200000000000003</v>
      </c>
    </row>
    <row r="309" spans="1:15" ht="11.1" customHeight="1">
      <c r="A309" s="912" t="s">
        <v>1345</v>
      </c>
      <c r="B309" s="807" t="s">
        <v>1346</v>
      </c>
      <c r="E309" s="914"/>
      <c r="F309" s="914"/>
      <c r="G309" s="914"/>
      <c r="H309" s="914"/>
      <c r="I309" s="914"/>
      <c r="J309" s="914"/>
      <c r="K309" s="914"/>
      <c r="L309" s="914"/>
      <c r="M309" s="914"/>
      <c r="N309" s="914"/>
      <c r="O309" s="914"/>
    </row>
    <row r="310" spans="1:15" ht="11.1" customHeight="1">
      <c r="B310" s="807" t="s">
        <v>1347</v>
      </c>
      <c r="E310" s="844" t="s">
        <v>1035</v>
      </c>
      <c r="F310" s="844" t="s">
        <v>1035</v>
      </c>
      <c r="G310" s="844" t="s">
        <v>1035</v>
      </c>
      <c r="H310" s="844" t="s">
        <v>1036</v>
      </c>
      <c r="I310" s="844" t="s">
        <v>1036</v>
      </c>
      <c r="J310" s="844" t="s">
        <v>1035</v>
      </c>
      <c r="K310" s="844" t="s">
        <v>1036</v>
      </c>
      <c r="L310" s="844" t="s">
        <v>1036</v>
      </c>
      <c r="M310" s="844" t="s">
        <v>1036</v>
      </c>
      <c r="N310" s="844" t="s">
        <v>1036</v>
      </c>
      <c r="O310" s="844" t="s">
        <v>1035</v>
      </c>
    </row>
    <row r="311" spans="1:15" ht="3.75" customHeight="1">
      <c r="A311" s="895"/>
      <c r="B311" s="794"/>
      <c r="C311" s="794"/>
      <c r="D311" s="795"/>
      <c r="E311" s="934"/>
      <c r="F311" s="934"/>
      <c r="G311" s="934"/>
      <c r="H311" s="934"/>
      <c r="I311" s="934"/>
      <c r="J311" s="934"/>
      <c r="K311" s="934"/>
      <c r="L311" s="934"/>
      <c r="M311" s="934"/>
      <c r="N311" s="934"/>
      <c r="O311" s="934"/>
    </row>
    <row r="312" spans="1:15" ht="3.75" customHeight="1">
      <c r="E312" s="914"/>
      <c r="F312" s="914"/>
      <c r="G312" s="914"/>
      <c r="H312" s="914"/>
      <c r="I312" s="914"/>
      <c r="J312" s="914"/>
      <c r="K312" s="914"/>
      <c r="L312" s="914"/>
      <c r="M312" s="914"/>
      <c r="N312" s="914"/>
      <c r="O312" s="914"/>
    </row>
    <row r="313" spans="1:15" ht="12.75" customHeight="1">
      <c r="A313" s="910" t="s">
        <v>1348</v>
      </c>
      <c r="B313" s="873" t="s">
        <v>1349</v>
      </c>
      <c r="C313" s="873"/>
      <c r="D313" s="874"/>
      <c r="E313" s="911">
        <v>3.5</v>
      </c>
      <c r="F313" s="911">
        <v>13.4</v>
      </c>
      <c r="G313" s="911">
        <v>8.9</v>
      </c>
      <c r="H313" s="911">
        <v>22</v>
      </c>
      <c r="I313" s="911">
        <v>11.1</v>
      </c>
      <c r="J313" s="911">
        <v>11.9</v>
      </c>
      <c r="K313" s="911">
        <v>22.3</v>
      </c>
      <c r="L313" s="911">
        <v>30.6</v>
      </c>
      <c r="M313" s="911">
        <v>23.8</v>
      </c>
      <c r="N313" s="911">
        <v>30.2</v>
      </c>
      <c r="O313" s="911">
        <v>39.6</v>
      </c>
    </row>
    <row r="314" spans="1:15" ht="3.75" customHeight="1">
      <c r="I314" s="890"/>
      <c r="J314" s="890"/>
      <c r="K314" s="890"/>
      <c r="L314" s="890"/>
      <c r="M314" s="890"/>
      <c r="N314" s="890"/>
      <c r="O314" s="890"/>
    </row>
    <row r="315" spans="1:15" ht="11.1" customHeight="1">
      <c r="A315" s="912" t="s">
        <v>1350</v>
      </c>
      <c r="B315" s="807" t="s">
        <v>1351</v>
      </c>
      <c r="E315" s="914">
        <v>2.5</v>
      </c>
      <c r="F315" s="914">
        <v>8.9</v>
      </c>
      <c r="G315" s="914">
        <v>7</v>
      </c>
      <c r="H315" s="914">
        <v>16.399999999999999</v>
      </c>
      <c r="I315" s="914">
        <v>10</v>
      </c>
      <c r="J315" s="914">
        <v>9.4</v>
      </c>
      <c r="K315" s="914">
        <v>17.100000000000001</v>
      </c>
      <c r="L315" s="914">
        <v>20</v>
      </c>
      <c r="M315" s="914">
        <v>17.3</v>
      </c>
      <c r="N315" s="914">
        <v>24.6</v>
      </c>
      <c r="O315" s="914">
        <v>30.6</v>
      </c>
    </row>
    <row r="316" spans="1:15" ht="11.1" customHeight="1">
      <c r="A316" s="801"/>
      <c r="B316" s="898" t="s">
        <v>1352</v>
      </c>
      <c r="C316" s="799" t="s">
        <v>1353</v>
      </c>
      <c r="D316" s="801"/>
      <c r="E316" s="914">
        <v>1.2</v>
      </c>
      <c r="F316" s="914">
        <v>4.2</v>
      </c>
      <c r="G316" s="914">
        <v>2.4</v>
      </c>
      <c r="H316" s="914">
        <v>5.5</v>
      </c>
      <c r="I316" s="914">
        <v>3.2</v>
      </c>
      <c r="J316" s="919">
        <v>0.8</v>
      </c>
      <c r="K316" s="914">
        <v>4.8</v>
      </c>
      <c r="L316" s="914">
        <v>5.5</v>
      </c>
      <c r="M316" s="914">
        <v>4.2</v>
      </c>
      <c r="N316" s="914">
        <v>6.2</v>
      </c>
      <c r="O316" s="914">
        <v>9.5</v>
      </c>
    </row>
    <row r="317" spans="1:15" ht="11.1" customHeight="1">
      <c r="A317" s="898"/>
      <c r="B317" s="898" t="s">
        <v>1354</v>
      </c>
      <c r="C317" s="801" t="s">
        <v>1355</v>
      </c>
      <c r="D317" s="801"/>
      <c r="E317" s="914">
        <v>0.3</v>
      </c>
      <c r="F317" s="914">
        <v>1.3</v>
      </c>
      <c r="G317" s="914">
        <v>1</v>
      </c>
      <c r="H317" s="914">
        <v>2.8</v>
      </c>
      <c r="I317" s="844" t="s">
        <v>1036</v>
      </c>
      <c r="J317" s="844" t="s">
        <v>1036</v>
      </c>
      <c r="K317" s="914">
        <v>1.2</v>
      </c>
      <c r="L317" s="914">
        <v>1.1000000000000001</v>
      </c>
      <c r="M317" s="919">
        <v>0.9</v>
      </c>
      <c r="N317" s="914">
        <v>2.7</v>
      </c>
      <c r="O317" s="914">
        <v>3.5</v>
      </c>
    </row>
    <row r="318" spans="1:15" ht="11.1" customHeight="1">
      <c r="A318" s="898"/>
      <c r="B318" s="898" t="s">
        <v>1356</v>
      </c>
      <c r="C318" s="801" t="s">
        <v>1357</v>
      </c>
      <c r="D318" s="801"/>
      <c r="E318" s="914">
        <v>0.6</v>
      </c>
      <c r="F318" s="914">
        <v>2.6</v>
      </c>
      <c r="G318" s="914">
        <v>2.6</v>
      </c>
      <c r="H318" s="914">
        <v>5.8</v>
      </c>
      <c r="I318" s="914">
        <v>3.6</v>
      </c>
      <c r="J318" s="914">
        <v>5.0999999999999996</v>
      </c>
      <c r="K318" s="914">
        <v>7.4</v>
      </c>
      <c r="L318" s="914">
        <v>8.6999999999999993</v>
      </c>
      <c r="M318" s="914">
        <v>6.5</v>
      </c>
      <c r="N318" s="914">
        <v>11.2</v>
      </c>
      <c r="O318" s="914">
        <v>13.1</v>
      </c>
    </row>
    <row r="319" spans="1:15" ht="11.1" customHeight="1">
      <c r="A319" s="801"/>
      <c r="B319" s="898" t="s">
        <v>1358</v>
      </c>
      <c r="C319" s="799" t="s">
        <v>1359</v>
      </c>
      <c r="D319" s="801"/>
      <c r="E319" s="914">
        <v>0.3</v>
      </c>
      <c r="F319" s="914">
        <v>0.9</v>
      </c>
      <c r="G319" s="914">
        <v>0.9</v>
      </c>
      <c r="H319" s="914">
        <v>2</v>
      </c>
      <c r="I319" s="914">
        <v>2.1</v>
      </c>
      <c r="J319" s="914">
        <v>2.5</v>
      </c>
      <c r="K319" s="914">
        <v>3.2</v>
      </c>
      <c r="L319" s="914">
        <v>3.3</v>
      </c>
      <c r="M319" s="914">
        <v>3.9</v>
      </c>
      <c r="N319" s="914">
        <v>4.3</v>
      </c>
      <c r="O319" s="914">
        <v>3.5</v>
      </c>
    </row>
    <row r="320" spans="1:15" ht="11.1" customHeight="1">
      <c r="A320" s="898"/>
      <c r="B320" s="898" t="s">
        <v>1360</v>
      </c>
      <c r="C320" s="801" t="s">
        <v>1361</v>
      </c>
      <c r="D320" s="801"/>
      <c r="E320" s="844" t="s">
        <v>1035</v>
      </c>
      <c r="F320" s="920" t="s">
        <v>1036</v>
      </c>
      <c r="G320" s="923">
        <v>0</v>
      </c>
      <c r="H320" s="914">
        <v>0.3</v>
      </c>
      <c r="I320" s="844" t="s">
        <v>1036</v>
      </c>
      <c r="J320" s="844" t="s">
        <v>1036</v>
      </c>
      <c r="K320" s="914">
        <v>0.5</v>
      </c>
      <c r="L320" s="914">
        <v>1.4</v>
      </c>
      <c r="M320" s="914">
        <v>1.9</v>
      </c>
      <c r="N320" s="920">
        <v>0.2</v>
      </c>
      <c r="O320" s="914">
        <v>1.1000000000000001</v>
      </c>
    </row>
    <row r="321" spans="1:15" ht="3.75" customHeight="1">
      <c r="E321" s="914"/>
      <c r="F321" s="914"/>
      <c r="G321" s="914"/>
      <c r="H321" s="914"/>
      <c r="I321" s="914"/>
      <c r="J321" s="914"/>
      <c r="K321" s="914"/>
      <c r="L321" s="914"/>
      <c r="M321" s="914"/>
      <c r="N321" s="914"/>
      <c r="O321" s="914"/>
    </row>
    <row r="322" spans="1:15" ht="11.1" customHeight="1">
      <c r="A322" s="912" t="s">
        <v>1362</v>
      </c>
      <c r="B322" s="807" t="s">
        <v>1363</v>
      </c>
      <c r="E322" s="914">
        <v>1.1000000000000001</v>
      </c>
      <c r="F322" s="914">
        <v>4.5</v>
      </c>
      <c r="G322" s="914">
        <v>2</v>
      </c>
      <c r="H322" s="914">
        <v>5.6</v>
      </c>
      <c r="I322" s="844" t="s">
        <v>1036</v>
      </c>
      <c r="J322" s="920">
        <v>2.5</v>
      </c>
      <c r="K322" s="914">
        <v>5.0999999999999996</v>
      </c>
      <c r="L322" s="914">
        <v>10.5</v>
      </c>
      <c r="M322" s="914">
        <v>6.6</v>
      </c>
      <c r="N322" s="914">
        <v>5.6</v>
      </c>
      <c r="O322" s="914">
        <v>9</v>
      </c>
    </row>
    <row r="323" spans="1:15" ht="11.1" customHeight="1">
      <c r="A323" s="801"/>
      <c r="B323" s="898" t="s">
        <v>1364</v>
      </c>
      <c r="C323" s="799" t="s">
        <v>1365</v>
      </c>
      <c r="D323" s="801"/>
      <c r="E323" s="914">
        <v>1</v>
      </c>
      <c r="F323" s="914">
        <v>3.7</v>
      </c>
      <c r="G323" s="914">
        <v>1.7</v>
      </c>
      <c r="H323" s="914">
        <v>4.2</v>
      </c>
      <c r="I323" s="844" t="s">
        <v>1036</v>
      </c>
      <c r="J323" s="844" t="s">
        <v>1036</v>
      </c>
      <c r="K323" s="914">
        <v>3.9</v>
      </c>
      <c r="L323" s="914">
        <v>9.4</v>
      </c>
      <c r="M323" s="920">
        <v>4.5999999999999996</v>
      </c>
      <c r="N323" s="914">
        <v>4</v>
      </c>
      <c r="O323" s="914">
        <v>5.7</v>
      </c>
    </row>
    <row r="324" spans="1:15" ht="11.1" customHeight="1">
      <c r="A324" s="801"/>
      <c r="B324" s="898" t="s">
        <v>1366</v>
      </c>
      <c r="C324" s="799" t="s">
        <v>1367</v>
      </c>
      <c r="D324" s="801"/>
      <c r="E324" s="844" t="s">
        <v>1036</v>
      </c>
      <c r="F324" s="920">
        <v>0.8</v>
      </c>
      <c r="G324" s="920">
        <v>0.2</v>
      </c>
      <c r="H324" s="914">
        <v>1.2</v>
      </c>
      <c r="I324" s="920" t="s">
        <v>1035</v>
      </c>
      <c r="J324" s="844" t="s">
        <v>1036</v>
      </c>
      <c r="K324" s="844" t="s">
        <v>1036</v>
      </c>
      <c r="L324" s="844" t="s">
        <v>1036</v>
      </c>
      <c r="M324" s="844" t="s">
        <v>1036</v>
      </c>
      <c r="N324" s="844" t="s">
        <v>1036</v>
      </c>
      <c r="O324" s="844" t="s">
        <v>1036</v>
      </c>
    </row>
    <row r="325" spans="1:15" ht="11.1" customHeight="1">
      <c r="A325" s="801"/>
      <c r="B325" s="898" t="s">
        <v>1368</v>
      </c>
      <c r="C325" s="799" t="s">
        <v>1369</v>
      </c>
      <c r="D325" s="801"/>
      <c r="E325" s="920" t="s">
        <v>1035</v>
      </c>
      <c r="F325" s="920" t="s">
        <v>1035</v>
      </c>
      <c r="G325" s="844" t="s">
        <v>1036</v>
      </c>
      <c r="H325" s="920">
        <v>0.2</v>
      </c>
      <c r="I325" s="920" t="s">
        <v>1035</v>
      </c>
      <c r="J325" s="920" t="s">
        <v>1035</v>
      </c>
      <c r="K325" s="844" t="s">
        <v>1036</v>
      </c>
      <c r="L325" s="844" t="s">
        <v>1036</v>
      </c>
      <c r="M325" s="920" t="s">
        <v>1035</v>
      </c>
      <c r="N325" s="844" t="s">
        <v>1036</v>
      </c>
      <c r="O325" s="844" t="s">
        <v>1036</v>
      </c>
    </row>
    <row r="326" spans="1:15" ht="3.75" customHeight="1">
      <c r="A326" s="895"/>
      <c r="B326" s="794"/>
      <c r="C326" s="794"/>
      <c r="D326" s="795"/>
      <c r="E326" s="934"/>
      <c r="F326" s="934"/>
      <c r="G326" s="934"/>
      <c r="H326" s="934"/>
      <c r="I326" s="934"/>
      <c r="J326" s="934"/>
      <c r="K326" s="934"/>
      <c r="L326" s="934"/>
      <c r="M326" s="934"/>
      <c r="N326" s="934"/>
      <c r="O326" s="934"/>
    </row>
    <row r="327" spans="1:15" ht="3.75" customHeight="1">
      <c r="E327" s="914"/>
      <c r="F327" s="914"/>
      <c r="G327" s="914"/>
      <c r="H327" s="914"/>
      <c r="I327" s="914"/>
      <c r="J327" s="914"/>
      <c r="K327" s="914"/>
      <c r="L327" s="914"/>
      <c r="M327" s="914"/>
    </row>
    <row r="328" spans="1:15" ht="11.1" customHeight="1">
      <c r="A328" s="850" t="s">
        <v>1047</v>
      </c>
      <c r="B328" s="913"/>
      <c r="C328" s="913"/>
      <c r="D328" s="914"/>
      <c r="E328" s="914"/>
      <c r="F328" s="914"/>
      <c r="G328" s="914"/>
      <c r="H328" s="914"/>
      <c r="I328" s="914"/>
      <c r="J328" s="914"/>
      <c r="K328" s="914"/>
      <c r="L328" s="914"/>
      <c r="M328" s="914"/>
    </row>
    <row r="329" spans="1:15" ht="11.1" customHeight="1">
      <c r="A329" s="850" t="s">
        <v>1137</v>
      </c>
      <c r="B329" s="913"/>
      <c r="C329" s="913"/>
      <c r="D329" s="914"/>
      <c r="E329" s="914"/>
      <c r="F329" s="914"/>
      <c r="G329" s="914"/>
      <c r="H329" s="914"/>
      <c r="I329" s="914"/>
      <c r="J329" s="914"/>
      <c r="K329" s="914"/>
      <c r="L329" s="914"/>
      <c r="M329" s="914"/>
    </row>
    <row r="330" spans="1:15" ht="11.1" customHeight="1">
      <c r="A330" s="845" t="s">
        <v>1048</v>
      </c>
      <c r="B330" s="913"/>
      <c r="C330" s="913"/>
      <c r="D330" s="914"/>
      <c r="E330" s="914"/>
      <c r="F330" s="914"/>
      <c r="G330" s="914"/>
      <c r="H330" s="914"/>
      <c r="I330" s="914"/>
      <c r="J330" s="914"/>
      <c r="K330" s="914"/>
      <c r="L330" s="914"/>
      <c r="M330" s="914"/>
    </row>
    <row r="331" spans="1:15" ht="11.1" customHeight="1">
      <c r="A331" s="951" t="s">
        <v>1370</v>
      </c>
      <c r="B331" s="913"/>
      <c r="C331" s="913"/>
      <c r="D331" s="914"/>
      <c r="E331" s="914"/>
      <c r="F331" s="914"/>
      <c r="G331" s="914"/>
      <c r="H331" s="914"/>
    </row>
    <row r="332" spans="1:15" ht="11.1" customHeight="1">
      <c r="A332" s="951"/>
      <c r="E332" s="914"/>
      <c r="F332" s="914"/>
      <c r="G332" s="914"/>
      <c r="H332" s="914"/>
    </row>
    <row r="333" spans="1:15" ht="11.1" customHeight="1">
      <c r="E333" s="914"/>
      <c r="F333" s="914"/>
      <c r="G333" s="914"/>
      <c r="H333" s="914"/>
    </row>
    <row r="334" spans="1:15" ht="11.1" customHeight="1">
      <c r="E334" s="914"/>
      <c r="F334" s="914"/>
      <c r="G334" s="914"/>
      <c r="H334" s="914"/>
    </row>
    <row r="338" spans="1:15" ht="15.75" customHeight="1">
      <c r="A338" s="782" t="s">
        <v>919</v>
      </c>
      <c r="B338" s="782"/>
    </row>
    <row r="339" spans="1:15" ht="15.75" customHeight="1">
      <c r="A339" s="782" t="s">
        <v>1052</v>
      </c>
      <c r="B339" s="891"/>
      <c r="C339" s="784"/>
      <c r="D339" s="789"/>
      <c r="E339" s="789"/>
      <c r="F339" s="892"/>
      <c r="G339" s="892"/>
      <c r="H339" s="893"/>
    </row>
    <row r="340" spans="1:15" ht="15.75" customHeight="1">
      <c r="A340" s="792" t="s">
        <v>1053</v>
      </c>
      <c r="B340" s="894"/>
      <c r="C340" s="870"/>
      <c r="D340" s="793"/>
      <c r="E340" s="789"/>
      <c r="F340" s="892"/>
      <c r="G340" s="892"/>
      <c r="H340" s="893"/>
    </row>
    <row r="341" spans="1:15" ht="4.5" customHeight="1">
      <c r="A341" s="895"/>
      <c r="B341" s="794"/>
      <c r="C341" s="794"/>
      <c r="D341" s="795"/>
      <c r="E341" s="896"/>
      <c r="F341" s="896"/>
      <c r="G341" s="896"/>
      <c r="H341" s="896"/>
      <c r="I341" s="896"/>
      <c r="J341" s="896"/>
      <c r="K341" s="896"/>
      <c r="L341" s="896"/>
      <c r="M341" s="896"/>
    </row>
    <row r="342" spans="1:15" ht="4.5" customHeight="1">
      <c r="A342" s="958"/>
      <c r="B342" s="800"/>
      <c r="C342" s="800"/>
      <c r="D342" s="801"/>
      <c r="E342" s="899"/>
      <c r="F342" s="899"/>
      <c r="G342" s="899"/>
      <c r="H342" s="899"/>
      <c r="I342" s="801"/>
      <c r="J342" s="899"/>
      <c r="K342" s="801"/>
      <c r="L342" s="899"/>
      <c r="M342" s="801"/>
      <c r="N342" s="900"/>
      <c r="O342" s="900"/>
    </row>
    <row r="343" spans="1:15" ht="12.75" customHeight="1">
      <c r="A343" s="905"/>
      <c r="B343" s="901"/>
      <c r="C343" s="901"/>
      <c r="D343" s="901"/>
      <c r="E343" s="805" t="s">
        <v>912</v>
      </c>
      <c r="F343" s="805"/>
      <c r="G343" s="805" t="s">
        <v>146</v>
      </c>
      <c r="H343" s="806"/>
      <c r="I343" s="805" t="s">
        <v>913</v>
      </c>
      <c r="J343" s="805"/>
      <c r="K343" s="805"/>
      <c r="L343" s="805"/>
      <c r="M343" s="805"/>
      <c r="N343" s="805"/>
      <c r="O343" s="805"/>
    </row>
    <row r="344" spans="1:15" ht="12.75" customHeight="1">
      <c r="A344" s="905"/>
      <c r="B344" s="901"/>
      <c r="C344" s="901"/>
      <c r="D344" s="901"/>
      <c r="E344" s="805"/>
      <c r="F344" s="806"/>
      <c r="G344" s="817" t="s">
        <v>929</v>
      </c>
      <c r="H344" s="813" t="s">
        <v>931</v>
      </c>
      <c r="I344" s="805" t="s">
        <v>922</v>
      </c>
      <c r="J344" s="902"/>
      <c r="K344" s="805" t="s">
        <v>923</v>
      </c>
      <c r="L344" s="902"/>
      <c r="M344" s="806"/>
      <c r="N344" s="903" t="s">
        <v>924</v>
      </c>
      <c r="O344" s="806"/>
    </row>
    <row r="345" spans="1:15" ht="12.75" customHeight="1">
      <c r="A345" s="905"/>
      <c r="B345" s="901"/>
      <c r="C345" s="901"/>
      <c r="D345" s="901"/>
      <c r="E345" s="817" t="s">
        <v>929</v>
      </c>
      <c r="F345" s="817" t="s">
        <v>930</v>
      </c>
      <c r="G345" s="813" t="s">
        <v>935</v>
      </c>
      <c r="H345" s="813" t="s">
        <v>936</v>
      </c>
      <c r="I345" s="817" t="s">
        <v>932</v>
      </c>
      <c r="J345" s="820" t="s">
        <v>932</v>
      </c>
      <c r="K345" s="813" t="s">
        <v>932</v>
      </c>
      <c r="L345" s="820" t="s">
        <v>932</v>
      </c>
      <c r="M345" s="820" t="s">
        <v>932</v>
      </c>
      <c r="N345" s="820" t="s">
        <v>933</v>
      </c>
      <c r="O345" s="820" t="s">
        <v>932</v>
      </c>
    </row>
    <row r="346" spans="1:15" ht="12.75" customHeight="1">
      <c r="A346" s="905"/>
      <c r="B346" s="901"/>
      <c r="C346" s="901"/>
      <c r="D346" s="901"/>
      <c r="E346" s="813" t="s">
        <v>935</v>
      </c>
      <c r="F346" s="817" t="s">
        <v>936</v>
      </c>
      <c r="G346" s="813" t="s">
        <v>26</v>
      </c>
      <c r="H346" s="813"/>
      <c r="I346" s="817" t="s">
        <v>937</v>
      </c>
      <c r="J346" s="817" t="s">
        <v>938</v>
      </c>
      <c r="K346" s="817" t="s">
        <v>937</v>
      </c>
      <c r="L346" s="817" t="s">
        <v>938</v>
      </c>
      <c r="M346" s="817" t="s">
        <v>939</v>
      </c>
      <c r="N346" s="817" t="s">
        <v>940</v>
      </c>
      <c r="O346" s="817" t="s">
        <v>940</v>
      </c>
    </row>
    <row r="347" spans="1:15" ht="12.75" customHeight="1">
      <c r="A347" s="905"/>
      <c r="B347" s="901"/>
      <c r="C347" s="901"/>
      <c r="D347" s="901"/>
      <c r="E347" s="793"/>
      <c r="F347" s="817"/>
      <c r="G347" s="793"/>
      <c r="H347" s="793"/>
      <c r="I347" s="817" t="s">
        <v>941</v>
      </c>
      <c r="J347" s="817" t="s">
        <v>942</v>
      </c>
      <c r="K347" s="817" t="s">
        <v>941</v>
      </c>
      <c r="L347" s="817" t="s">
        <v>940</v>
      </c>
      <c r="M347" s="817" t="s">
        <v>942</v>
      </c>
      <c r="N347" s="813"/>
      <c r="O347" s="813"/>
    </row>
    <row r="348" spans="1:15" ht="12.75" customHeight="1">
      <c r="A348" s="905"/>
      <c r="B348" s="901"/>
      <c r="C348" s="901"/>
      <c r="D348" s="901"/>
      <c r="E348" s="822"/>
      <c r="F348" s="822"/>
      <c r="G348" s="822"/>
      <c r="H348" s="822"/>
      <c r="I348" s="793"/>
      <c r="J348" s="817" t="s">
        <v>940</v>
      </c>
      <c r="K348" s="793"/>
      <c r="L348" s="793"/>
      <c r="M348" s="817" t="s">
        <v>940</v>
      </c>
      <c r="N348" s="793"/>
      <c r="O348" s="793"/>
    </row>
    <row r="349" spans="1:15" ht="4.5" customHeight="1">
      <c r="A349" s="929"/>
      <c r="B349" s="794"/>
      <c r="C349" s="794"/>
      <c r="D349" s="959"/>
      <c r="E349" s="796"/>
      <c r="F349" s="796"/>
      <c r="G349" s="796"/>
      <c r="H349" s="796"/>
      <c r="I349" s="796"/>
      <c r="J349" s="795"/>
      <c r="K349" s="795"/>
      <c r="L349" s="796"/>
      <c r="M349" s="796"/>
      <c r="N349" s="796"/>
      <c r="O349" s="796"/>
    </row>
    <row r="350" spans="1:15" ht="4.5" customHeight="1">
      <c r="B350" s="928"/>
      <c r="C350" s="928"/>
      <c r="I350" s="890"/>
      <c r="J350" s="890"/>
      <c r="K350" s="890"/>
      <c r="L350" s="890"/>
      <c r="M350" s="890"/>
    </row>
    <row r="351" spans="1:15" ht="11.1" customHeight="1">
      <c r="A351" s="909" t="s">
        <v>1030</v>
      </c>
      <c r="B351" s="834"/>
      <c r="C351" s="834"/>
      <c r="D351" s="835"/>
      <c r="E351" s="1335" t="s">
        <v>1031</v>
      </c>
      <c r="F351" s="1335"/>
      <c r="G351" s="1335"/>
      <c r="H351" s="1335"/>
      <c r="I351" s="1335"/>
      <c r="J351" s="1335"/>
      <c r="K351" s="1335"/>
      <c r="L351" s="1335"/>
      <c r="M351" s="1335"/>
    </row>
    <row r="352" spans="1:15" ht="4.5" customHeight="1">
      <c r="A352" s="895"/>
      <c r="B352" s="795"/>
      <c r="C352" s="795"/>
      <c r="D352" s="795"/>
      <c r="E352" s="896"/>
      <c r="F352" s="896"/>
      <c r="G352" s="896"/>
      <c r="H352" s="896"/>
      <c r="I352" s="896"/>
      <c r="J352" s="896"/>
      <c r="K352" s="896"/>
      <c r="L352" s="896"/>
      <c r="M352" s="896"/>
      <c r="N352" s="795"/>
      <c r="O352" s="795"/>
    </row>
    <row r="353" spans="1:15" ht="4.5" customHeight="1">
      <c r="A353" s="963"/>
      <c r="B353" s="842"/>
      <c r="C353" s="842"/>
      <c r="D353" s="846"/>
      <c r="E353" s="846"/>
      <c r="F353" s="846"/>
      <c r="G353" s="846"/>
      <c r="H353" s="846"/>
      <c r="I353" s="846"/>
      <c r="J353" s="846"/>
      <c r="K353" s="846"/>
      <c r="L353" s="846"/>
      <c r="M353" s="846"/>
      <c r="N353" s="846"/>
      <c r="O353" s="846"/>
    </row>
    <row r="354" spans="1:15" ht="12.75" customHeight="1">
      <c r="A354" s="935" t="s">
        <v>1371</v>
      </c>
      <c r="B354" s="974" t="s">
        <v>1372</v>
      </c>
      <c r="C354" s="974"/>
      <c r="D354" s="975"/>
      <c r="E354" s="938">
        <v>20.9</v>
      </c>
      <c r="F354" s="938">
        <v>36.299999999999997</v>
      </c>
      <c r="G354" s="938">
        <v>21.6</v>
      </c>
      <c r="H354" s="938">
        <v>39.299999999999997</v>
      </c>
      <c r="I354" s="938">
        <v>23.4</v>
      </c>
      <c r="J354" s="938">
        <v>31.5</v>
      </c>
      <c r="K354" s="938">
        <v>46.3</v>
      </c>
      <c r="L354" s="938">
        <v>51.1</v>
      </c>
      <c r="M354" s="938">
        <v>39.5</v>
      </c>
      <c r="N354" s="938">
        <v>58.7</v>
      </c>
      <c r="O354" s="938">
        <v>58.1</v>
      </c>
    </row>
    <row r="355" spans="1:15" ht="4.5" customHeight="1">
      <c r="E355" s="914"/>
      <c r="F355" s="914"/>
      <c r="I355" s="914"/>
      <c r="J355" s="890"/>
      <c r="K355" s="914"/>
      <c r="L355" s="890"/>
      <c r="M355" s="914"/>
      <c r="N355" s="914"/>
      <c r="O355" s="914"/>
    </row>
    <row r="356" spans="1:15" ht="11.1" customHeight="1">
      <c r="A356" s="912" t="s">
        <v>1373</v>
      </c>
      <c r="B356" s="807" t="s">
        <v>1374</v>
      </c>
      <c r="E356" s="914">
        <v>4.4000000000000004</v>
      </c>
      <c r="F356" s="914">
        <v>9.4</v>
      </c>
      <c r="G356" s="914">
        <v>5.3</v>
      </c>
      <c r="H356" s="914">
        <v>10</v>
      </c>
      <c r="I356" s="914">
        <v>7.3</v>
      </c>
      <c r="J356" s="914">
        <v>10</v>
      </c>
      <c r="K356" s="914">
        <v>11.6</v>
      </c>
      <c r="L356" s="914">
        <v>12.7</v>
      </c>
      <c r="M356" s="914">
        <v>13.2</v>
      </c>
      <c r="N356" s="914">
        <v>17</v>
      </c>
      <c r="O356" s="914">
        <v>22.2</v>
      </c>
    </row>
    <row r="357" spans="1:15" ht="11.1" customHeight="1">
      <c r="A357" s="801"/>
      <c r="B357" s="898" t="s">
        <v>1375</v>
      </c>
      <c r="C357" s="799" t="s">
        <v>1376</v>
      </c>
      <c r="D357" s="801"/>
      <c r="E357" s="914">
        <v>1.3</v>
      </c>
      <c r="F357" s="914">
        <v>2.2999999999999998</v>
      </c>
      <c r="G357" s="914">
        <v>0.8</v>
      </c>
      <c r="H357" s="914">
        <v>1.7</v>
      </c>
      <c r="I357" s="920" t="s">
        <v>1036</v>
      </c>
      <c r="J357" s="920" t="s">
        <v>1036</v>
      </c>
      <c r="K357" s="914">
        <v>1.1000000000000001</v>
      </c>
      <c r="L357" s="914">
        <v>1.4</v>
      </c>
      <c r="M357" s="920" t="s">
        <v>1036</v>
      </c>
      <c r="N357" s="914">
        <v>3</v>
      </c>
      <c r="O357" s="914">
        <v>1.9</v>
      </c>
    </row>
    <row r="358" spans="1:15" ht="11.1" customHeight="1">
      <c r="A358" s="801"/>
      <c r="B358" s="898" t="s">
        <v>1377</v>
      </c>
      <c r="C358" s="799" t="s">
        <v>1378</v>
      </c>
      <c r="D358" s="801"/>
      <c r="E358" s="914">
        <v>0.5</v>
      </c>
      <c r="F358" s="914">
        <v>0.8</v>
      </c>
      <c r="G358" s="914">
        <v>0.5</v>
      </c>
      <c r="H358" s="914">
        <v>0.9</v>
      </c>
      <c r="I358" s="914">
        <v>0.6</v>
      </c>
      <c r="J358" s="914">
        <v>0.8</v>
      </c>
      <c r="K358" s="914">
        <v>1</v>
      </c>
      <c r="L358" s="914">
        <v>1.3</v>
      </c>
      <c r="M358" s="914">
        <v>1.8</v>
      </c>
      <c r="N358" s="914">
        <v>1.3</v>
      </c>
      <c r="O358" s="914">
        <v>1.6</v>
      </c>
    </row>
    <row r="359" spans="1:15" ht="11.1" customHeight="1">
      <c r="A359" s="801"/>
      <c r="B359" s="898" t="s">
        <v>1379</v>
      </c>
      <c r="C359" s="799" t="s">
        <v>1380</v>
      </c>
      <c r="D359" s="801"/>
      <c r="E359" s="914">
        <v>1.3</v>
      </c>
      <c r="F359" s="914">
        <v>2.9</v>
      </c>
      <c r="G359" s="914">
        <v>1.5</v>
      </c>
      <c r="H359" s="914">
        <v>2.6</v>
      </c>
      <c r="I359" s="914">
        <v>2</v>
      </c>
      <c r="J359" s="914">
        <v>2.7</v>
      </c>
      <c r="K359" s="914">
        <v>3</v>
      </c>
      <c r="L359" s="914">
        <v>3.4</v>
      </c>
      <c r="M359" s="914">
        <v>3.7</v>
      </c>
      <c r="N359" s="914">
        <v>4.4000000000000004</v>
      </c>
      <c r="O359" s="914">
        <v>5.2</v>
      </c>
    </row>
    <row r="360" spans="1:15" ht="11.1" customHeight="1">
      <c r="A360" s="801"/>
      <c r="B360" s="898" t="s">
        <v>1381</v>
      </c>
      <c r="C360" s="799" t="s">
        <v>1382</v>
      </c>
      <c r="D360" s="801"/>
      <c r="E360" s="914">
        <v>0.1</v>
      </c>
      <c r="F360" s="914">
        <v>0.1</v>
      </c>
      <c r="G360" s="914">
        <v>0.1</v>
      </c>
      <c r="H360" s="914">
        <v>0.3</v>
      </c>
      <c r="I360" s="914">
        <v>0.6</v>
      </c>
      <c r="J360" s="914">
        <v>0.9</v>
      </c>
      <c r="K360" s="914">
        <v>1.9</v>
      </c>
      <c r="L360" s="914">
        <v>1.4</v>
      </c>
      <c r="M360" s="914">
        <v>1.5</v>
      </c>
      <c r="N360" s="914">
        <v>0.2</v>
      </c>
      <c r="O360" s="914">
        <v>1</v>
      </c>
    </row>
    <row r="361" spans="1:15" ht="11.1" customHeight="1">
      <c r="A361" s="801"/>
      <c r="B361" s="898" t="s">
        <v>1383</v>
      </c>
      <c r="C361" s="799" t="s">
        <v>1384</v>
      </c>
      <c r="D361" s="801"/>
      <c r="E361" s="914">
        <v>1.2</v>
      </c>
      <c r="F361" s="914">
        <v>3.2</v>
      </c>
      <c r="G361" s="914">
        <v>2.5</v>
      </c>
      <c r="H361" s="914">
        <v>4.5</v>
      </c>
      <c r="I361" s="914">
        <v>3.5</v>
      </c>
      <c r="J361" s="914">
        <v>4.3</v>
      </c>
      <c r="K361" s="914">
        <v>4.5999999999999996</v>
      </c>
      <c r="L361" s="914">
        <v>5.2</v>
      </c>
      <c r="M361" s="914">
        <v>5.5</v>
      </c>
      <c r="N361" s="914">
        <v>8</v>
      </c>
      <c r="O361" s="914">
        <v>12.5</v>
      </c>
    </row>
    <row r="362" spans="1:15" ht="4.5" customHeight="1">
      <c r="E362" s="914"/>
      <c r="F362" s="914"/>
      <c r="G362" s="914"/>
      <c r="H362" s="914"/>
      <c r="I362" s="914"/>
      <c r="J362" s="914"/>
      <c r="K362" s="914"/>
      <c r="L362" s="914"/>
      <c r="M362" s="914"/>
      <c r="N362" s="914"/>
      <c r="O362" s="914"/>
    </row>
    <row r="363" spans="1:15" ht="11.1" customHeight="1">
      <c r="A363" s="912" t="s">
        <v>1385</v>
      </c>
      <c r="B363" s="807" t="s">
        <v>1386</v>
      </c>
      <c r="E363" s="914">
        <v>0.5</v>
      </c>
      <c r="F363" s="914">
        <v>1</v>
      </c>
      <c r="G363" s="914">
        <v>1.3</v>
      </c>
      <c r="H363" s="914">
        <v>3</v>
      </c>
      <c r="I363" s="914">
        <v>2.1</v>
      </c>
      <c r="J363" s="919">
        <v>1.1000000000000001</v>
      </c>
      <c r="K363" s="914">
        <v>2.7</v>
      </c>
      <c r="L363" s="914">
        <v>3.9</v>
      </c>
      <c r="M363" s="914">
        <v>1.2</v>
      </c>
      <c r="N363" s="914">
        <v>2.2000000000000002</v>
      </c>
      <c r="O363" s="914">
        <v>2.7</v>
      </c>
    </row>
    <row r="364" spans="1:15" ht="11.1" customHeight="1">
      <c r="A364" s="912" t="s">
        <v>1387</v>
      </c>
      <c r="B364" s="807" t="s">
        <v>1388</v>
      </c>
      <c r="E364" s="920" t="s">
        <v>1036</v>
      </c>
      <c r="F364" s="920" t="s">
        <v>1036</v>
      </c>
      <c r="G364" s="920" t="s">
        <v>1036</v>
      </c>
      <c r="H364" s="920" t="s">
        <v>1036</v>
      </c>
      <c r="I364" s="920" t="s">
        <v>1036</v>
      </c>
      <c r="J364" s="920" t="s">
        <v>1036</v>
      </c>
      <c r="K364" s="914">
        <v>6.7</v>
      </c>
      <c r="L364" s="914">
        <v>5.3</v>
      </c>
      <c r="M364" s="920" t="s">
        <v>1036</v>
      </c>
      <c r="N364" s="920" t="s">
        <v>1036</v>
      </c>
      <c r="O364" s="920" t="s">
        <v>1036</v>
      </c>
    </row>
    <row r="365" spans="1:15" ht="4.5" customHeight="1">
      <c r="E365" s="914"/>
      <c r="F365" s="914"/>
      <c r="G365" s="914"/>
      <c r="H365" s="914"/>
      <c r="I365" s="914"/>
      <c r="K365" s="914"/>
      <c r="M365" s="914"/>
      <c r="N365" s="914"/>
      <c r="O365" s="914"/>
    </row>
    <row r="366" spans="1:15" ht="11.1" customHeight="1">
      <c r="A366" s="912" t="s">
        <v>1389</v>
      </c>
      <c r="B366" s="807" t="s">
        <v>1390</v>
      </c>
      <c r="E366" s="914">
        <v>11</v>
      </c>
      <c r="F366" s="914">
        <v>21.8</v>
      </c>
      <c r="G366" s="914">
        <v>10.7</v>
      </c>
      <c r="H366" s="914">
        <v>20</v>
      </c>
      <c r="I366" s="914">
        <v>11.7</v>
      </c>
      <c r="J366" s="914">
        <v>13.7</v>
      </c>
      <c r="K366" s="914">
        <v>19.600000000000001</v>
      </c>
      <c r="L366" s="914">
        <v>22</v>
      </c>
      <c r="M366" s="914">
        <v>20.6</v>
      </c>
      <c r="N366" s="914">
        <v>33.299999999999997</v>
      </c>
      <c r="O366" s="914">
        <v>29.3</v>
      </c>
    </row>
    <row r="367" spans="1:15" ht="11.1" customHeight="1">
      <c r="A367" s="801"/>
      <c r="B367" s="898" t="s">
        <v>1391</v>
      </c>
      <c r="C367" s="799" t="s">
        <v>1392</v>
      </c>
      <c r="D367" s="801"/>
      <c r="E367" s="914"/>
      <c r="F367" s="914"/>
      <c r="G367" s="914"/>
      <c r="H367" s="914"/>
      <c r="I367" s="914"/>
      <c r="K367" s="914"/>
      <c r="M367" s="914"/>
      <c r="N367" s="914"/>
      <c r="O367" s="914"/>
    </row>
    <row r="368" spans="1:15" ht="11.1" customHeight="1">
      <c r="A368" s="801"/>
      <c r="B368" s="801"/>
      <c r="C368" s="799" t="s">
        <v>1393</v>
      </c>
      <c r="D368" s="801"/>
      <c r="E368" s="914">
        <v>4.4000000000000004</v>
      </c>
      <c r="F368" s="914">
        <v>6.8</v>
      </c>
      <c r="G368" s="914">
        <v>3.4</v>
      </c>
      <c r="H368" s="914">
        <v>5.3</v>
      </c>
      <c r="I368" s="914">
        <v>2.7</v>
      </c>
      <c r="J368" s="914">
        <v>3.1</v>
      </c>
      <c r="K368" s="914">
        <v>5.3</v>
      </c>
      <c r="L368" s="914">
        <v>6.8</v>
      </c>
      <c r="M368" s="914">
        <v>4.5999999999999996</v>
      </c>
      <c r="N368" s="914">
        <v>6.4</v>
      </c>
      <c r="O368" s="914">
        <v>6.6</v>
      </c>
    </row>
    <row r="369" spans="1:15" ht="11.1" customHeight="1">
      <c r="A369" s="801"/>
      <c r="B369" s="898" t="s">
        <v>1394</v>
      </c>
      <c r="C369" s="799" t="s">
        <v>1395</v>
      </c>
      <c r="D369" s="801"/>
      <c r="E369" s="914">
        <v>1.6</v>
      </c>
      <c r="F369" s="914">
        <v>4.4000000000000004</v>
      </c>
      <c r="G369" s="914">
        <v>1.3</v>
      </c>
      <c r="H369" s="914">
        <v>2.5</v>
      </c>
      <c r="I369" s="920">
        <v>1</v>
      </c>
      <c r="J369" s="920">
        <v>1.5</v>
      </c>
      <c r="K369" s="914">
        <v>1.4</v>
      </c>
      <c r="L369" s="914">
        <v>2.6</v>
      </c>
      <c r="M369" s="914">
        <v>1.2</v>
      </c>
      <c r="N369" s="914">
        <v>3.3</v>
      </c>
      <c r="O369" s="914">
        <v>1.7</v>
      </c>
    </row>
    <row r="370" spans="1:15" ht="11.1" customHeight="1">
      <c r="A370" s="976"/>
      <c r="B370" s="977" t="s">
        <v>1396</v>
      </c>
      <c r="C370" s="978" t="s">
        <v>1397</v>
      </c>
      <c r="D370" s="976"/>
      <c r="E370" s="943">
        <v>4.8</v>
      </c>
      <c r="F370" s="943">
        <v>9.6999999999999993</v>
      </c>
      <c r="G370" s="943">
        <v>5.7</v>
      </c>
      <c r="H370" s="943">
        <v>11.7</v>
      </c>
      <c r="I370" s="943">
        <v>7.8</v>
      </c>
      <c r="J370" s="943">
        <v>9.1</v>
      </c>
      <c r="K370" s="943">
        <v>12.7</v>
      </c>
      <c r="L370" s="943">
        <v>12.3</v>
      </c>
      <c r="M370" s="943">
        <v>14.7</v>
      </c>
      <c r="N370" s="943">
        <v>23.3</v>
      </c>
      <c r="O370" s="943">
        <v>20.7</v>
      </c>
    </row>
    <row r="371" spans="1:15" ht="11.1" customHeight="1">
      <c r="A371" s="801"/>
      <c r="B371" s="898" t="s">
        <v>1398</v>
      </c>
      <c r="C371" s="799" t="s">
        <v>1399</v>
      </c>
      <c r="D371" s="801"/>
      <c r="E371" s="914">
        <v>0.2</v>
      </c>
      <c r="F371" s="914">
        <v>1</v>
      </c>
      <c r="G371" s="914">
        <v>0.3</v>
      </c>
      <c r="H371" s="914">
        <v>0.6</v>
      </c>
      <c r="I371" s="844" t="s">
        <v>1036</v>
      </c>
      <c r="J371" s="844" t="s">
        <v>1036</v>
      </c>
      <c r="K371" s="914">
        <v>0.2</v>
      </c>
      <c r="L371" s="914">
        <v>0.4</v>
      </c>
      <c r="M371" s="920">
        <v>0.1</v>
      </c>
      <c r="N371" s="914">
        <v>0.4</v>
      </c>
      <c r="O371" s="914">
        <v>0.4</v>
      </c>
    </row>
    <row r="372" spans="1:15" ht="4.5" customHeight="1">
      <c r="B372" s="798"/>
      <c r="C372" s="798"/>
      <c r="E372" s="914"/>
      <c r="F372" s="914"/>
      <c r="G372" s="914"/>
      <c r="H372" s="914"/>
      <c r="I372" s="914"/>
      <c r="K372" s="914"/>
      <c r="M372" s="914"/>
      <c r="N372" s="914"/>
      <c r="O372" s="914"/>
    </row>
    <row r="373" spans="1:15" ht="11.1" customHeight="1">
      <c r="A373" s="912" t="s">
        <v>1400</v>
      </c>
      <c r="B373" s="807" t="s">
        <v>1401</v>
      </c>
      <c r="E373" s="914">
        <v>4.4000000000000004</v>
      </c>
      <c r="F373" s="914">
        <v>2.9</v>
      </c>
      <c r="G373" s="914">
        <v>3.9</v>
      </c>
      <c r="H373" s="914">
        <v>6.2</v>
      </c>
      <c r="I373" s="914">
        <v>1</v>
      </c>
      <c r="J373" s="914">
        <v>2.8</v>
      </c>
      <c r="K373" s="914">
        <v>5.6</v>
      </c>
      <c r="L373" s="914">
        <v>7.1</v>
      </c>
      <c r="M373" s="914">
        <v>2.9</v>
      </c>
      <c r="N373" s="914">
        <v>5.5</v>
      </c>
      <c r="O373" s="914">
        <v>3.9</v>
      </c>
    </row>
    <row r="374" spans="1:15" ht="11.1" customHeight="1">
      <c r="A374" s="801"/>
      <c r="B374" s="898" t="s">
        <v>1402</v>
      </c>
      <c r="C374" s="799" t="s">
        <v>1403</v>
      </c>
      <c r="D374" s="801"/>
      <c r="E374" s="919">
        <v>0.6</v>
      </c>
      <c r="F374" s="919">
        <v>1</v>
      </c>
      <c r="G374" s="914">
        <v>1.3</v>
      </c>
      <c r="H374" s="914">
        <v>3</v>
      </c>
      <c r="I374" s="920" t="s">
        <v>1036</v>
      </c>
      <c r="J374" s="920" t="s">
        <v>1036</v>
      </c>
      <c r="K374" s="914">
        <v>2.6</v>
      </c>
      <c r="L374" s="914">
        <v>3.8</v>
      </c>
      <c r="M374" s="920" t="s">
        <v>1036</v>
      </c>
      <c r="N374" s="919">
        <v>1.5</v>
      </c>
      <c r="O374" s="920">
        <v>1.7</v>
      </c>
    </row>
    <row r="375" spans="1:15" ht="11.1" customHeight="1">
      <c r="A375" s="801"/>
      <c r="B375" s="898" t="s">
        <v>1404</v>
      </c>
      <c r="C375" s="799" t="s">
        <v>1405</v>
      </c>
      <c r="D375" s="801"/>
      <c r="E375" s="914">
        <v>0.2</v>
      </c>
      <c r="F375" s="914">
        <v>0.6</v>
      </c>
      <c r="G375" s="914">
        <v>0.4</v>
      </c>
      <c r="H375" s="914">
        <v>0.6</v>
      </c>
      <c r="I375" s="914">
        <v>0.3</v>
      </c>
      <c r="J375" s="919">
        <v>0.4</v>
      </c>
      <c r="K375" s="914">
        <v>0.6</v>
      </c>
      <c r="L375" s="914">
        <v>1.2</v>
      </c>
      <c r="M375" s="914">
        <v>0.5</v>
      </c>
      <c r="N375" s="914">
        <v>0.8</v>
      </c>
      <c r="O375" s="914">
        <v>0.7</v>
      </c>
    </row>
    <row r="376" spans="1:15" ht="11.1" customHeight="1">
      <c r="A376" s="801"/>
      <c r="B376" s="898" t="s">
        <v>1406</v>
      </c>
      <c r="C376" s="799" t="s">
        <v>1407</v>
      </c>
      <c r="D376" s="801"/>
      <c r="E376" s="919">
        <v>3.6</v>
      </c>
      <c r="F376" s="914">
        <v>1.3</v>
      </c>
      <c r="G376" s="914">
        <v>2.2000000000000002</v>
      </c>
      <c r="H376" s="914">
        <v>2.6</v>
      </c>
      <c r="I376" s="920" t="s">
        <v>1036</v>
      </c>
      <c r="J376" s="919">
        <v>1.3</v>
      </c>
      <c r="K376" s="914">
        <v>2.4</v>
      </c>
      <c r="L376" s="914">
        <v>2.2000000000000002</v>
      </c>
      <c r="M376" s="914">
        <v>1</v>
      </c>
      <c r="N376" s="914">
        <v>3.2</v>
      </c>
      <c r="O376" s="914">
        <v>1.5</v>
      </c>
    </row>
    <row r="377" spans="1:15" ht="25.2" customHeight="1">
      <c r="A377" s="895"/>
      <c r="B377" s="979"/>
      <c r="C377" s="979"/>
      <c r="D377" s="949"/>
      <c r="E377" s="980">
        <f>SUM(E370/E354)</f>
        <v>0.22966507177033493</v>
      </c>
      <c r="F377" s="980">
        <f t="shared" ref="F377:O377" si="2">SUM(F370/F354)</f>
        <v>0.26721763085399447</v>
      </c>
      <c r="G377" s="980">
        <f t="shared" si="2"/>
        <v>0.2638888888888889</v>
      </c>
      <c r="H377" s="980">
        <f t="shared" si="2"/>
        <v>0.29770992366412213</v>
      </c>
      <c r="I377" s="980">
        <f t="shared" si="2"/>
        <v>0.33333333333333337</v>
      </c>
      <c r="J377" s="980">
        <f t="shared" si="2"/>
        <v>0.28888888888888886</v>
      </c>
      <c r="K377" s="980">
        <f t="shared" si="2"/>
        <v>0.27429805615550756</v>
      </c>
      <c r="L377" s="980">
        <f t="shared" si="2"/>
        <v>0.2407045009784736</v>
      </c>
      <c r="M377" s="980">
        <f t="shared" si="2"/>
        <v>0.3721518987341772</v>
      </c>
      <c r="N377" s="980">
        <f t="shared" si="2"/>
        <v>0.39693356047700168</v>
      </c>
      <c r="O377" s="980">
        <f t="shared" si="2"/>
        <v>0.35628227194492251</v>
      </c>
    </row>
    <row r="378" spans="1:15" ht="4.5" customHeight="1">
      <c r="E378" s="962"/>
      <c r="F378" s="962"/>
      <c r="G378" s="962"/>
      <c r="H378" s="962"/>
      <c r="I378" s="962"/>
      <c r="J378" s="962"/>
      <c r="K378" s="962"/>
      <c r="L378" s="962"/>
      <c r="M378" s="962"/>
      <c r="N378" s="962"/>
      <c r="O378" s="962"/>
    </row>
    <row r="379" spans="1:15" ht="12.75" customHeight="1">
      <c r="A379" s="876" t="s">
        <v>1043</v>
      </c>
      <c r="B379" s="861" t="s">
        <v>1044</v>
      </c>
      <c r="C379" s="864"/>
      <c r="D379" s="862"/>
      <c r="E379" s="911">
        <v>193.6</v>
      </c>
      <c r="F379" s="911">
        <v>363.8</v>
      </c>
      <c r="G379" s="911">
        <v>250</v>
      </c>
      <c r="H379" s="911">
        <v>453</v>
      </c>
      <c r="I379" s="911">
        <v>330.5</v>
      </c>
      <c r="J379" s="911">
        <v>418.2</v>
      </c>
      <c r="K379" s="911">
        <v>490.9</v>
      </c>
      <c r="L379" s="911">
        <v>575.1</v>
      </c>
      <c r="M379" s="911">
        <v>536.9</v>
      </c>
      <c r="N379" s="911">
        <v>638.5</v>
      </c>
      <c r="O379" s="911">
        <v>685.4</v>
      </c>
    </row>
    <row r="380" spans="1:15" ht="4.5" customHeight="1">
      <c r="A380" s="895"/>
      <c r="B380" s="794"/>
      <c r="C380" s="794"/>
      <c r="D380" s="795"/>
      <c r="E380" s="896"/>
      <c r="F380" s="896"/>
      <c r="G380" s="896"/>
      <c r="H380" s="896"/>
      <c r="I380" s="896"/>
      <c r="J380" s="896"/>
      <c r="K380" s="896"/>
      <c r="L380" s="896"/>
      <c r="M380" s="896"/>
      <c r="N380" s="896"/>
      <c r="O380" s="896"/>
    </row>
    <row r="381" spans="1:15" ht="4.5" customHeight="1">
      <c r="I381" s="890"/>
      <c r="J381" s="890"/>
      <c r="K381" s="890"/>
      <c r="L381" s="890"/>
      <c r="M381" s="890"/>
      <c r="N381" s="890"/>
      <c r="O381" s="890"/>
    </row>
    <row r="382" spans="1:15" ht="12.75" customHeight="1">
      <c r="A382" s="981" t="s">
        <v>1408</v>
      </c>
      <c r="B382" s="861" t="s">
        <v>1045</v>
      </c>
      <c r="C382" s="861"/>
      <c r="D382" s="862"/>
      <c r="E382" s="911">
        <v>31.9</v>
      </c>
      <c r="F382" s="911">
        <v>57.7</v>
      </c>
      <c r="G382" s="911">
        <v>45.1</v>
      </c>
      <c r="H382" s="911">
        <v>75.099999999999994</v>
      </c>
      <c r="I382" s="911">
        <v>42.1</v>
      </c>
      <c r="J382" s="911">
        <v>48.2</v>
      </c>
      <c r="K382" s="911">
        <v>98.9</v>
      </c>
      <c r="L382" s="911">
        <v>113.5</v>
      </c>
      <c r="M382" s="911">
        <v>86.2</v>
      </c>
      <c r="N382" s="911">
        <v>70.8</v>
      </c>
      <c r="O382" s="911">
        <v>82.7</v>
      </c>
    </row>
    <row r="383" spans="1:15" ht="4.5" customHeight="1">
      <c r="I383" s="890"/>
      <c r="J383" s="890"/>
      <c r="K383" s="890"/>
      <c r="L383" s="890"/>
      <c r="M383" s="890"/>
      <c r="N383" s="890"/>
      <c r="O383" s="890"/>
    </row>
    <row r="384" spans="1:15" ht="11.1" customHeight="1">
      <c r="A384" s="982" t="s">
        <v>1409</v>
      </c>
      <c r="B384" s="913" t="s">
        <v>1410</v>
      </c>
      <c r="C384" s="913"/>
      <c r="D384" s="914"/>
      <c r="E384" s="914"/>
      <c r="F384" s="914"/>
      <c r="G384" s="914"/>
      <c r="H384" s="914"/>
      <c r="I384" s="914"/>
      <c r="J384" s="914"/>
      <c r="K384" s="914"/>
      <c r="L384" s="914"/>
      <c r="M384" s="914"/>
      <c r="N384" s="914"/>
      <c r="O384" s="914"/>
    </row>
    <row r="385" spans="1:15" ht="11.1" customHeight="1">
      <c r="A385" s="830"/>
      <c r="B385" s="913" t="s">
        <v>1411</v>
      </c>
      <c r="C385" s="913"/>
      <c r="D385" s="914"/>
      <c r="E385" s="914">
        <v>20.5</v>
      </c>
      <c r="F385" s="914">
        <v>36.1</v>
      </c>
      <c r="G385" s="914">
        <v>33.700000000000003</v>
      </c>
      <c r="H385" s="914">
        <v>59.2</v>
      </c>
      <c r="I385" s="914">
        <v>35.6</v>
      </c>
      <c r="J385" s="914">
        <v>30.3</v>
      </c>
      <c r="K385" s="914">
        <v>82.2</v>
      </c>
      <c r="L385" s="914">
        <v>99.9</v>
      </c>
      <c r="M385" s="914">
        <v>72.2</v>
      </c>
      <c r="N385" s="914">
        <v>53.6</v>
      </c>
      <c r="O385" s="914">
        <v>69</v>
      </c>
    </row>
    <row r="386" spans="1:15" ht="11.1" customHeight="1">
      <c r="A386" s="982" t="s">
        <v>1412</v>
      </c>
      <c r="B386" s="913" t="s">
        <v>1413</v>
      </c>
      <c r="C386" s="913"/>
      <c r="D386" s="914"/>
      <c r="E386" s="914">
        <v>1.7</v>
      </c>
      <c r="F386" s="914">
        <v>4.2</v>
      </c>
      <c r="G386" s="914">
        <v>2.2000000000000002</v>
      </c>
      <c r="H386" s="914">
        <v>3.9</v>
      </c>
      <c r="I386" s="914">
        <v>1.6</v>
      </c>
      <c r="J386" s="914">
        <v>2.2999999999999998</v>
      </c>
      <c r="K386" s="914">
        <v>3.6</v>
      </c>
      <c r="L386" s="914">
        <v>4.2</v>
      </c>
      <c r="M386" s="914">
        <v>4.0999999999999996</v>
      </c>
      <c r="N386" s="914">
        <v>5.8</v>
      </c>
      <c r="O386" s="914">
        <v>5.7</v>
      </c>
    </row>
    <row r="387" spans="1:15" ht="11.1" customHeight="1">
      <c r="A387" s="982" t="s">
        <v>1414</v>
      </c>
      <c r="B387" s="913" t="s">
        <v>1415</v>
      </c>
      <c r="C387" s="913"/>
      <c r="D387" s="914"/>
      <c r="E387" s="920" t="s">
        <v>1036</v>
      </c>
      <c r="F387" s="920" t="s">
        <v>1036</v>
      </c>
      <c r="G387" s="920" t="s">
        <v>1036</v>
      </c>
      <c r="H387" s="920">
        <v>2.1</v>
      </c>
      <c r="I387" s="920" t="s">
        <v>1035</v>
      </c>
      <c r="J387" s="920" t="s">
        <v>1035</v>
      </c>
      <c r="K387" s="920" t="s">
        <v>1036</v>
      </c>
      <c r="L387" s="920" t="s">
        <v>1036</v>
      </c>
      <c r="M387" s="920" t="s">
        <v>1035</v>
      </c>
      <c r="N387" s="920" t="s">
        <v>1036</v>
      </c>
      <c r="O387" s="920" t="s">
        <v>1036</v>
      </c>
    </row>
    <row r="388" spans="1:15" ht="4.5" customHeight="1">
      <c r="A388" s="830"/>
      <c r="B388" s="913"/>
      <c r="C388" s="913"/>
      <c r="D388" s="914"/>
      <c r="E388" s="914"/>
      <c r="F388" s="914"/>
      <c r="G388" s="914"/>
      <c r="H388" s="914"/>
      <c r="I388" s="914"/>
      <c r="J388" s="914"/>
      <c r="K388" s="914"/>
      <c r="L388" s="914"/>
      <c r="M388" s="914"/>
      <c r="N388" s="914"/>
      <c r="O388" s="914"/>
    </row>
    <row r="389" spans="1:15" ht="11.1" customHeight="1">
      <c r="A389" s="982" t="s">
        <v>1416</v>
      </c>
      <c r="B389" s="913" t="s">
        <v>1417</v>
      </c>
      <c r="C389" s="913"/>
      <c r="D389" s="914"/>
      <c r="E389" s="914">
        <v>9.4</v>
      </c>
      <c r="F389" s="914">
        <v>17.2</v>
      </c>
      <c r="G389" s="914">
        <v>8.9</v>
      </c>
      <c r="H389" s="914">
        <v>9.8000000000000007</v>
      </c>
      <c r="I389" s="914">
        <v>4.9000000000000004</v>
      </c>
      <c r="J389" s="914">
        <v>15.6</v>
      </c>
      <c r="K389" s="914">
        <v>11.1</v>
      </c>
      <c r="L389" s="914">
        <v>7.7</v>
      </c>
      <c r="M389" s="914">
        <v>9.9</v>
      </c>
      <c r="N389" s="914">
        <v>10.8</v>
      </c>
      <c r="O389" s="914">
        <v>7.4</v>
      </c>
    </row>
    <row r="390" spans="1:15" ht="11.1" customHeight="1">
      <c r="A390" s="918"/>
      <c r="B390" s="918" t="s">
        <v>1418</v>
      </c>
      <c r="C390" s="918" t="s">
        <v>1419</v>
      </c>
      <c r="D390" s="917"/>
      <c r="E390" s="920" t="s">
        <v>1035</v>
      </c>
      <c r="F390" s="920" t="s">
        <v>1036</v>
      </c>
      <c r="G390" s="920" t="s">
        <v>1036</v>
      </c>
      <c r="H390" s="920" t="s">
        <v>1036</v>
      </c>
      <c r="I390" s="920" t="s">
        <v>1035</v>
      </c>
      <c r="J390" s="920" t="s">
        <v>1036</v>
      </c>
      <c r="K390" s="920" t="s">
        <v>1036</v>
      </c>
      <c r="L390" s="920">
        <v>0.4</v>
      </c>
      <c r="M390" s="920" t="s">
        <v>1036</v>
      </c>
      <c r="N390" s="920" t="s">
        <v>1036</v>
      </c>
      <c r="O390" s="920" t="s">
        <v>1036</v>
      </c>
    </row>
    <row r="391" spans="1:15" ht="11.1" customHeight="1">
      <c r="A391" s="918"/>
      <c r="B391" s="918" t="s">
        <v>1420</v>
      </c>
      <c r="C391" s="918" t="s">
        <v>1421</v>
      </c>
      <c r="D391" s="917"/>
      <c r="E391" s="914">
        <v>9.1999999999999993</v>
      </c>
      <c r="F391" s="914">
        <v>16</v>
      </c>
      <c r="G391" s="914">
        <v>8</v>
      </c>
      <c r="H391" s="914">
        <v>8.9</v>
      </c>
      <c r="I391" s="914">
        <v>3.7</v>
      </c>
      <c r="J391" s="914">
        <v>13.4</v>
      </c>
      <c r="K391" s="914">
        <v>9</v>
      </c>
      <c r="L391" s="914">
        <v>5.6</v>
      </c>
      <c r="M391" s="914">
        <v>7.3</v>
      </c>
      <c r="N391" s="914">
        <v>9.1</v>
      </c>
      <c r="O391" s="914">
        <v>4.9000000000000004</v>
      </c>
    </row>
    <row r="392" spans="1:15" ht="11.1" customHeight="1">
      <c r="A392" s="918"/>
      <c r="B392" s="918" t="s">
        <v>1422</v>
      </c>
      <c r="C392" s="918" t="s">
        <v>1423</v>
      </c>
      <c r="D392" s="917"/>
      <c r="E392" s="914"/>
      <c r="F392" s="914"/>
      <c r="G392" s="914"/>
      <c r="H392" s="914"/>
      <c r="I392" s="914"/>
      <c r="J392" s="914"/>
      <c r="K392" s="914"/>
      <c r="L392" s="914"/>
      <c r="M392" s="914"/>
      <c r="N392" s="914"/>
      <c r="O392" s="914"/>
    </row>
    <row r="393" spans="1:15" ht="11.1" customHeight="1">
      <c r="A393" s="918"/>
      <c r="B393" s="918"/>
      <c r="C393" s="918" t="s">
        <v>1424</v>
      </c>
      <c r="D393" s="917"/>
      <c r="E393" s="914">
        <v>0.2</v>
      </c>
      <c r="F393" s="914">
        <v>0.4</v>
      </c>
      <c r="G393" s="914">
        <v>0.9</v>
      </c>
      <c r="H393" s="914">
        <v>0.9</v>
      </c>
      <c r="I393" s="919">
        <v>1.2</v>
      </c>
      <c r="J393" s="914">
        <v>2.1</v>
      </c>
      <c r="K393" s="914">
        <v>1.9</v>
      </c>
      <c r="L393" s="914">
        <v>1.7</v>
      </c>
      <c r="M393" s="914">
        <v>2.4</v>
      </c>
      <c r="N393" s="914">
        <v>1</v>
      </c>
      <c r="O393" s="914">
        <v>1.6</v>
      </c>
    </row>
    <row r="394" spans="1:15" ht="4.5" customHeight="1">
      <c r="A394" s="895"/>
      <c r="B394" s="794"/>
      <c r="C394" s="794"/>
      <c r="D394" s="795"/>
      <c r="E394" s="896"/>
      <c r="F394" s="896"/>
      <c r="G394" s="896"/>
      <c r="H394" s="896"/>
      <c r="I394" s="896"/>
      <c r="J394" s="896"/>
      <c r="K394" s="896"/>
      <c r="L394" s="896"/>
      <c r="M394" s="896"/>
      <c r="N394" s="896"/>
      <c r="O394" s="896"/>
    </row>
    <row r="395" spans="1:15" ht="4.5" customHeight="1">
      <c r="I395" s="890"/>
      <c r="J395" s="890"/>
      <c r="K395" s="890"/>
      <c r="L395" s="890"/>
      <c r="M395" s="890"/>
      <c r="N395" s="890"/>
      <c r="O395" s="890"/>
    </row>
    <row r="396" spans="1:15" ht="12.75" customHeight="1">
      <c r="A396" s="861" t="s">
        <v>1425</v>
      </c>
      <c r="B396" s="862"/>
      <c r="C396" s="861"/>
      <c r="D396" s="862"/>
      <c r="E396" s="911">
        <v>225.4</v>
      </c>
      <c r="F396" s="911">
        <v>421.5</v>
      </c>
      <c r="G396" s="911">
        <v>295.10000000000002</v>
      </c>
      <c r="H396" s="911">
        <v>528</v>
      </c>
      <c r="I396" s="911">
        <v>372.6</v>
      </c>
      <c r="J396" s="911">
        <v>466.3</v>
      </c>
      <c r="K396" s="911">
        <v>589.70000000000005</v>
      </c>
      <c r="L396" s="911">
        <v>688.5</v>
      </c>
      <c r="M396" s="911">
        <v>623.1</v>
      </c>
      <c r="N396" s="911">
        <v>709.4</v>
      </c>
      <c r="O396" s="911">
        <v>768.1</v>
      </c>
    </row>
    <row r="397" spans="1:15" ht="4.5" customHeight="1">
      <c r="A397" s="895"/>
      <c r="B397" s="794"/>
      <c r="C397" s="794"/>
      <c r="D397" s="795"/>
      <c r="E397" s="896"/>
      <c r="F397" s="896"/>
      <c r="G397" s="896"/>
      <c r="H397" s="896"/>
      <c r="I397" s="896"/>
      <c r="J397" s="896"/>
      <c r="K397" s="896"/>
      <c r="L397" s="896"/>
      <c r="M397" s="896"/>
      <c r="N397" s="896"/>
      <c r="O397" s="896"/>
    </row>
    <row r="398" spans="1:15" ht="4.5" customHeight="1">
      <c r="I398" s="890"/>
      <c r="J398" s="890"/>
      <c r="K398" s="890"/>
      <c r="L398" s="890"/>
      <c r="M398" s="890"/>
      <c r="N398" s="890"/>
      <c r="O398" s="890"/>
    </row>
    <row r="399" spans="1:15" ht="12.75" customHeight="1">
      <c r="A399" s="981" t="s">
        <v>1426</v>
      </c>
      <c r="B399" s="861" t="s">
        <v>1427</v>
      </c>
      <c r="C399" s="861"/>
      <c r="D399" s="862"/>
      <c r="E399" s="862"/>
      <c r="F399" s="862"/>
      <c r="G399" s="862"/>
      <c r="H399" s="862"/>
      <c r="I399" s="862"/>
      <c r="J399" s="862"/>
      <c r="K399" s="862"/>
      <c r="L399" s="862"/>
      <c r="M399" s="862"/>
      <c r="N399" s="862"/>
      <c r="O399" s="862"/>
    </row>
    <row r="400" spans="1:15" ht="4.5" customHeight="1">
      <c r="A400" s="913"/>
      <c r="B400" s="913"/>
      <c r="C400" s="913"/>
      <c r="D400" s="914"/>
      <c r="E400" s="914"/>
      <c r="F400" s="914"/>
      <c r="G400" s="914"/>
      <c r="H400" s="914"/>
      <c r="I400" s="914"/>
      <c r="J400" s="914"/>
      <c r="K400" s="914"/>
      <c r="L400" s="914"/>
      <c r="M400" s="914"/>
      <c r="N400" s="914"/>
      <c r="O400" s="914"/>
    </row>
    <row r="401" spans="1:15" ht="11.1" customHeight="1">
      <c r="A401" s="982" t="s">
        <v>1428</v>
      </c>
      <c r="B401" s="913" t="s">
        <v>1429</v>
      </c>
      <c r="C401" s="913"/>
      <c r="D401" s="914"/>
      <c r="E401" s="914">
        <v>1.4</v>
      </c>
      <c r="F401" s="914">
        <v>4.2</v>
      </c>
      <c r="G401" s="914">
        <v>23.9</v>
      </c>
      <c r="H401" s="914">
        <v>45.6</v>
      </c>
      <c r="I401" s="914">
        <v>15.4</v>
      </c>
      <c r="J401" s="914">
        <v>13.2</v>
      </c>
      <c r="K401" s="914">
        <v>50.8</v>
      </c>
      <c r="L401" s="914">
        <v>64.2</v>
      </c>
      <c r="M401" s="914">
        <v>41.3</v>
      </c>
      <c r="N401" s="914">
        <v>58.6</v>
      </c>
      <c r="O401" s="914">
        <v>61.5</v>
      </c>
    </row>
    <row r="402" spans="1:15" ht="11.1" customHeight="1">
      <c r="A402" s="982" t="s">
        <v>1430</v>
      </c>
      <c r="B402" s="913" t="s">
        <v>1431</v>
      </c>
      <c r="C402" s="913"/>
      <c r="D402" s="914"/>
      <c r="E402" s="914">
        <v>1.5</v>
      </c>
      <c r="F402" s="914">
        <v>2.4</v>
      </c>
      <c r="G402" s="914">
        <v>1.1000000000000001</v>
      </c>
      <c r="H402" s="914">
        <v>2.4</v>
      </c>
      <c r="I402" s="920">
        <v>1</v>
      </c>
      <c r="J402" s="914">
        <v>1.1000000000000001</v>
      </c>
      <c r="K402" s="914">
        <v>2.2999999999999998</v>
      </c>
      <c r="L402" s="914">
        <v>3.1</v>
      </c>
      <c r="M402" s="914">
        <v>1.3</v>
      </c>
      <c r="N402" s="914">
        <v>2.9</v>
      </c>
      <c r="O402" s="914">
        <v>2.2999999999999998</v>
      </c>
    </row>
    <row r="403" spans="1:15" ht="11.1" customHeight="1">
      <c r="A403" s="982" t="s">
        <v>1432</v>
      </c>
      <c r="B403" s="913" t="s">
        <v>1433</v>
      </c>
      <c r="C403" s="913"/>
      <c r="D403" s="914"/>
      <c r="E403" s="914">
        <v>28.5</v>
      </c>
      <c r="F403" s="914">
        <v>64.8</v>
      </c>
      <c r="G403" s="914">
        <v>56.1</v>
      </c>
      <c r="H403" s="914">
        <v>139.4</v>
      </c>
      <c r="I403" s="914">
        <v>33.9</v>
      </c>
      <c r="J403" s="914">
        <v>28.3</v>
      </c>
      <c r="K403" s="914">
        <v>152.6</v>
      </c>
      <c r="L403" s="914">
        <v>199.8</v>
      </c>
      <c r="M403" s="914">
        <v>123.3</v>
      </c>
      <c r="N403" s="914">
        <v>172.5</v>
      </c>
      <c r="O403" s="914">
        <v>225.9</v>
      </c>
    </row>
    <row r="404" spans="1:15" ht="11.1" customHeight="1">
      <c r="A404" s="982" t="s">
        <v>1434</v>
      </c>
      <c r="B404" s="913" t="s">
        <v>1435</v>
      </c>
      <c r="C404" s="913"/>
      <c r="D404" s="914"/>
      <c r="E404" s="844">
        <v>0</v>
      </c>
      <c r="F404" s="914">
        <v>1.6</v>
      </c>
      <c r="G404" s="914">
        <v>26.8</v>
      </c>
      <c r="H404" s="914">
        <v>58.4</v>
      </c>
      <c r="I404" s="914">
        <v>19.899999999999999</v>
      </c>
      <c r="J404" s="914">
        <v>13.4</v>
      </c>
      <c r="K404" s="914">
        <v>63.2</v>
      </c>
      <c r="L404" s="914">
        <v>75.7</v>
      </c>
      <c r="M404" s="914">
        <v>50.4</v>
      </c>
      <c r="N404" s="914">
        <v>68.400000000000006</v>
      </c>
      <c r="O404" s="914">
        <v>76.900000000000006</v>
      </c>
    </row>
    <row r="405" spans="1:15" ht="11.1" customHeight="1">
      <c r="A405" s="982" t="s">
        <v>1436</v>
      </c>
      <c r="B405" s="913" t="s">
        <v>1437</v>
      </c>
      <c r="C405" s="913"/>
      <c r="D405" s="914"/>
      <c r="E405" s="914">
        <v>10</v>
      </c>
      <c r="F405" s="914">
        <v>27.9</v>
      </c>
      <c r="G405" s="914">
        <v>45.3</v>
      </c>
      <c r="H405" s="914">
        <v>86.4</v>
      </c>
      <c r="I405" s="914">
        <v>30.1</v>
      </c>
      <c r="J405" s="914">
        <v>22</v>
      </c>
      <c r="K405" s="914">
        <v>96.7</v>
      </c>
      <c r="L405" s="914">
        <v>144.5</v>
      </c>
      <c r="M405" s="914">
        <v>75.8</v>
      </c>
      <c r="N405" s="914">
        <v>58.5</v>
      </c>
      <c r="O405" s="914">
        <v>117.6</v>
      </c>
    </row>
    <row r="406" spans="1:15" ht="11.1" customHeight="1">
      <c r="A406" s="982" t="s">
        <v>1438</v>
      </c>
      <c r="B406" s="913" t="s">
        <v>1439</v>
      </c>
      <c r="C406" s="913"/>
      <c r="D406" s="914"/>
      <c r="E406" s="914">
        <v>1.2</v>
      </c>
      <c r="F406" s="914">
        <v>2.5</v>
      </c>
      <c r="G406" s="914">
        <v>4.5</v>
      </c>
      <c r="H406" s="914">
        <v>5.0999999999999996</v>
      </c>
      <c r="I406" s="844" t="s">
        <v>1036</v>
      </c>
      <c r="J406" s="919">
        <v>2.5</v>
      </c>
      <c r="K406" s="914">
        <v>3.2</v>
      </c>
      <c r="L406" s="914">
        <v>6.2</v>
      </c>
      <c r="M406" s="919">
        <v>3.2</v>
      </c>
      <c r="N406" s="914">
        <v>8.9</v>
      </c>
      <c r="O406" s="919">
        <v>7.4</v>
      </c>
    </row>
    <row r="407" spans="1:15" ht="11.1" customHeight="1">
      <c r="A407" s="982" t="s">
        <v>1440</v>
      </c>
      <c r="B407" s="913" t="s">
        <v>1441</v>
      </c>
      <c r="C407" s="913"/>
      <c r="D407" s="914"/>
      <c r="E407" s="844" t="s">
        <v>1036</v>
      </c>
      <c r="F407" s="844" t="s">
        <v>1036</v>
      </c>
      <c r="G407" s="844">
        <v>1</v>
      </c>
      <c r="H407" s="844">
        <v>2.2999999999999998</v>
      </c>
      <c r="I407" s="844" t="s">
        <v>1036</v>
      </c>
      <c r="J407" s="844" t="s">
        <v>1036</v>
      </c>
      <c r="K407" s="844">
        <v>3</v>
      </c>
      <c r="L407" s="844">
        <v>4</v>
      </c>
      <c r="M407" s="919">
        <v>4.7</v>
      </c>
      <c r="N407" s="919">
        <v>2.5</v>
      </c>
      <c r="O407" s="844" t="s">
        <v>1036</v>
      </c>
    </row>
    <row r="408" spans="1:15" ht="11.1" customHeight="1">
      <c r="A408" s="982" t="s">
        <v>1442</v>
      </c>
      <c r="B408" s="913" t="s">
        <v>1443</v>
      </c>
      <c r="C408" s="913"/>
      <c r="D408" s="914"/>
      <c r="E408" s="844" t="s">
        <v>1036</v>
      </c>
      <c r="F408" s="920">
        <v>0.1</v>
      </c>
      <c r="G408" s="844" t="s">
        <v>1036</v>
      </c>
      <c r="H408" s="914">
        <v>0.2</v>
      </c>
      <c r="I408" s="844" t="s">
        <v>1036</v>
      </c>
      <c r="J408" s="844" t="s">
        <v>1036</v>
      </c>
      <c r="K408" s="844" t="s">
        <v>1036</v>
      </c>
      <c r="L408" s="844" t="s">
        <v>1036</v>
      </c>
      <c r="M408" s="920" t="s">
        <v>1035</v>
      </c>
      <c r="N408" s="844" t="s">
        <v>1036</v>
      </c>
      <c r="O408" s="844" t="s">
        <v>1036</v>
      </c>
    </row>
    <row r="409" spans="1:15" ht="4.5" customHeight="1">
      <c r="A409" s="895"/>
      <c r="B409" s="794"/>
      <c r="C409" s="794"/>
      <c r="D409" s="795"/>
      <c r="E409" s="934"/>
      <c r="F409" s="934"/>
      <c r="G409" s="934"/>
      <c r="H409" s="934"/>
      <c r="I409" s="934"/>
      <c r="J409" s="934"/>
      <c r="K409" s="934"/>
      <c r="L409" s="934"/>
      <c r="M409" s="934"/>
      <c r="N409" s="934"/>
      <c r="O409" s="934"/>
    </row>
    <row r="410" spans="1:15" ht="4.5" customHeight="1">
      <c r="E410" s="914"/>
      <c r="F410" s="914"/>
      <c r="G410" s="914"/>
      <c r="H410" s="914"/>
      <c r="I410" s="890"/>
      <c r="J410" s="890"/>
      <c r="K410" s="890"/>
      <c r="L410" s="890"/>
      <c r="M410" s="890"/>
    </row>
    <row r="411" spans="1:15" ht="11.1" customHeight="1">
      <c r="A411" s="850" t="s">
        <v>1047</v>
      </c>
      <c r="B411" s="913"/>
      <c r="C411" s="913"/>
      <c r="D411" s="914"/>
      <c r="E411" s="914"/>
      <c r="F411" s="914"/>
      <c r="I411" s="914"/>
      <c r="J411" s="914"/>
      <c r="K411" s="914"/>
      <c r="L411" s="890"/>
      <c r="M411" s="890"/>
    </row>
    <row r="412" spans="1:15" ht="11.1" customHeight="1">
      <c r="A412" s="850" t="s">
        <v>1137</v>
      </c>
      <c r="B412" s="913"/>
      <c r="C412" s="913"/>
      <c r="D412" s="914"/>
      <c r="E412" s="914"/>
      <c r="F412" s="914"/>
      <c r="I412" s="914"/>
      <c r="J412" s="914"/>
      <c r="K412" s="914"/>
      <c r="L412" s="890"/>
      <c r="M412" s="890"/>
    </row>
    <row r="413" spans="1:15" ht="11.1" customHeight="1">
      <c r="A413" s="845" t="s">
        <v>1048</v>
      </c>
      <c r="B413" s="913"/>
      <c r="C413" s="913"/>
      <c r="D413" s="914"/>
      <c r="E413" s="914"/>
      <c r="F413" s="914"/>
      <c r="I413" s="914"/>
      <c r="J413" s="914"/>
      <c r="K413" s="914"/>
      <c r="L413" s="890"/>
      <c r="M413" s="890"/>
    </row>
    <row r="414" spans="1:15" ht="11.1" customHeight="1">
      <c r="A414" s="883" t="s">
        <v>1444</v>
      </c>
      <c r="I414" s="890"/>
      <c r="J414" s="890"/>
      <c r="K414" s="890"/>
      <c r="L414" s="890"/>
      <c r="M414" s="890"/>
    </row>
    <row r="415" spans="1:15" ht="11.1" customHeight="1">
      <c r="A415" s="883" t="s">
        <v>1445</v>
      </c>
    </row>
    <row r="416" spans="1:15" ht="11.1" customHeight="1">
      <c r="A416" s="883" t="s">
        <v>1446</v>
      </c>
    </row>
    <row r="417" spans="1:1" ht="11.1" customHeight="1">
      <c r="A417" s="883" t="s">
        <v>1447</v>
      </c>
    </row>
    <row r="418" spans="1:1" ht="11.1" customHeight="1">
      <c r="A418" s="807"/>
    </row>
    <row r="420" spans="1:1" ht="11.1" customHeight="1">
      <c r="A420" s="983" t="s">
        <v>1051</v>
      </c>
    </row>
  </sheetData>
  <sheetProtection algorithmName="SHA-512" hashValue="auD06wmMFuqAPWUkUYzosEk2UHvHB8nBmUkuBapurqaQuFKAs1WqkLCyHhtqV8OZYsC8fil/NgUINEVI4ZXjzA==" saltValue="L0y24Fvu/f2dcmo+SnNhNg==" spinCount="100000" sheet="1" objects="1" scenarios="1"/>
  <mergeCells count="5">
    <mergeCell ref="E23:M23"/>
    <mergeCell ref="E102:M102"/>
    <mergeCell ref="E180:M180"/>
    <mergeCell ref="E263:M263"/>
    <mergeCell ref="E351:M351"/>
  </mergeCells>
  <pageMargins left="0.75" right="0.75" top="1" bottom="1" header="0.5" footer="0.5"/>
  <pageSetup paperSize="9" orientation="portrait" r:id="rId1"/>
  <rowBreaks count="5" manualBreakCount="5">
    <brk id="85" max="9" man="1"/>
    <brk id="164" max="9" man="1"/>
    <brk id="248" max="16383" man="1"/>
    <brk id="334" max="9" man="1"/>
    <brk id="418"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5FCE84-13D3-42ED-82FC-058FB4B066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Income &amp; Committed Expenditure</vt:lpstr>
      <vt:lpstr>Supporting borrower(s) Income</vt:lpstr>
      <vt:lpstr>Support borrower Affordability</vt:lpstr>
      <vt:lpstr>Occupy borrower(s) Income</vt:lpstr>
      <vt:lpstr>Occupy borrower Affordability</vt:lpstr>
      <vt:lpstr>ONS CALCULATIONS</vt:lpstr>
      <vt:lpstr>Help Notes</vt:lpstr>
      <vt:lpstr>A23</vt:lpstr>
      <vt:lpstr>A23 Detailed 2022</vt:lpstr>
      <vt:lpstr>fye 2021</vt:lpstr>
      <vt:lpstr>'A23'!Print_Area</vt:lpstr>
      <vt:lpstr>'A23 Detailed 2022'!Print_Area</vt:lpstr>
      <vt:lpstr>'fye 2021'!Print_Area</vt:lpstr>
      <vt:lpstr>'Help Notes'!Print_Area</vt:lpstr>
      <vt:lpstr>'Income &amp; Committed Expenditure'!Print_Area</vt:lpstr>
      <vt:lpstr>'Occupy borrower Affordability'!Print_Area</vt:lpstr>
      <vt:lpstr>'Occupy borrower(s) Income'!Print_Area</vt:lpstr>
      <vt:lpstr>'Support borrower Affordability'!Print_Area</vt:lpstr>
      <vt:lpstr>'Supporting borrower(s) Income'!Print_Area</vt:lpstr>
    </vt:vector>
  </TitlesOfParts>
  <Company>Skipton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lou00059</dc:creator>
  <cp:lastModifiedBy>Colin Pytel</cp:lastModifiedBy>
  <cp:lastPrinted>2024-07-16T15:22:45Z</cp:lastPrinted>
  <dcterms:created xsi:type="dcterms:W3CDTF">2008-04-01T11:18:00Z</dcterms:created>
  <dcterms:modified xsi:type="dcterms:W3CDTF">2024-12-10T10:12:00Z</dcterms:modified>
</cp:coreProperties>
</file>